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struktioner" sheetId="1" r:id="rId4"/>
    <sheet name="Exempel" sheetId="2" r:id="rId5"/>
    <sheet name="Budget" sheetId="3" r:id="rId6"/>
    <sheet name="Åtgärdsbeskrivning" sheetId="4" r:id="rId7"/>
  </sheets>
</workbook>
</file>

<file path=xl/comments1.xml><?xml version="1.0" encoding="utf-8"?>
<comments xmlns="http://schemas.openxmlformats.org/spreadsheetml/2006/main">
  <authors>
    <author>Jennie Niesel</author>
    <author>Niesel Jennie</author>
    <author>Norling Staland Åsa</author>
  </authors>
  <commentList>
    <comment ref="C10" authorId="0">
      <text>
        <r>
          <rPr>
            <sz val="11"/>
            <color indexed="8"/>
            <rFont val="Helvetica Neue"/>
          </rPr>
          <t>Jennie Niesel:
Varje typ av köpt tjänst redovisas på egen rad.</t>
        </r>
      </text>
    </comment>
    <comment ref="D10" authorId="1">
      <text>
        <r>
          <rPr>
            <sz val="11"/>
            <color indexed="8"/>
            <rFont val="Helvetica Neue"/>
          </rPr>
          <t>Niesel Jennie:
T.ex. tryckta ex av informationsmaterial, antal konsulter etc.</t>
        </r>
      </text>
    </comment>
    <comment ref="G10" authorId="0">
      <text>
        <r>
          <rPr>
            <sz val="11"/>
            <color indexed="8"/>
            <rFont val="Helvetica Neue"/>
          </rPr>
          <t>Jennie Niesel:
Saknar du någon enhet, lägg till en kolumn, skriv en rubrik och lägg till data.</t>
        </r>
      </text>
    </comment>
    <comment ref="J10" authorId="1">
      <text>
        <r>
          <rPr>
            <sz val="11"/>
            <color indexed="8"/>
            <rFont val="Helvetica Neue"/>
          </rPr>
          <t>Niesel Jennie:
Kan vara olika arvoden. Därför finns inga formler i mallen</t>
        </r>
      </text>
    </comment>
    <comment ref="K10" authorId="1">
      <text>
        <r>
          <rPr>
            <sz val="11"/>
            <color indexed="8"/>
            <rFont val="Helvetica Neue"/>
          </rPr>
          <t xml:space="preserve">Niesel Jennie:
Multiplicera antal och styckpris på egen rad och timmar och timlön på egen rad. </t>
        </r>
      </text>
    </comment>
    <comment ref="L10" authorId="1">
      <text>
        <r>
          <rPr>
            <sz val="11"/>
            <color indexed="8"/>
            <rFont val="Helvetica Neue"/>
          </rPr>
          <t>Niesel Jennie:
Avser moms på timlön. 
Se instruktionsfliken om när moms ska inkluderas eller inte</t>
        </r>
      </text>
    </comment>
    <comment ref="M10" authorId="1">
      <text>
        <r>
          <rPr>
            <sz val="11"/>
            <color indexed="8"/>
            <rFont val="Helvetica Neue"/>
          </rPr>
          <t>Niesel Jennie:
Multiplicera antal och styckprispå egen rad och/eller timmar och timlön på egen rad. Lägg på moms för timlön.</t>
        </r>
      </text>
    </comment>
    <comment ref="C23" authorId="0">
      <text>
        <r>
          <rPr>
            <sz val="11"/>
            <color indexed="8"/>
            <rFont val="Helvetica Neue"/>
          </rPr>
          <t>Jennie Niesel:
Beskriv i grova drag vad det egna arbetet består av.</t>
        </r>
      </text>
    </comment>
    <comment ref="E23" authorId="0">
      <text>
        <r>
          <rPr>
            <sz val="11"/>
            <color indexed="8"/>
            <rFont val="Helvetica Neue"/>
          </rPr>
          <t>Jennie Niesel:
Saknar du någon enhet, lägg till en kolumn, skriv en rubrik och lägg till data.</t>
        </r>
      </text>
    </comment>
    <comment ref="J23" authorId="1">
      <text>
        <r>
          <rPr>
            <sz val="11"/>
            <color indexed="8"/>
            <rFont val="Helvetica Neue"/>
          </rPr>
          <t>Niesel Jennie:
Se instruktionsfliken om sociala avgifter och OH</t>
        </r>
      </text>
    </comment>
    <comment ref="C35" authorId="0">
      <text>
        <r>
          <rPr>
            <sz val="11"/>
            <color indexed="8"/>
            <rFont val="Helvetica Neue"/>
          </rPr>
          <t>Jennie Niesel:
Specificera - olika typer av material på olika rader samt pris och kostnad.</t>
        </r>
      </text>
    </comment>
    <comment ref="D35" authorId="1">
      <text>
        <r>
          <rPr>
            <sz val="11"/>
            <color indexed="8"/>
            <rFont val="Helvetica Neue"/>
          </rPr>
          <t>Niesel Jennie:
T.ex. tryckta ex av informationsmaterial</t>
        </r>
      </text>
    </comment>
    <comment ref="K35" authorId="1">
      <text>
        <r>
          <rPr>
            <sz val="11"/>
            <color indexed="8"/>
            <rFont val="Helvetica Neue"/>
          </rPr>
          <t>Niesel Jennie:
Multiplicera antal och styckpris på egen rad och/eller antal och meterpris på egen rad. 
Se instruktionsfliken om moms är aktuellt</t>
        </r>
      </text>
    </comment>
    <comment ref="L35" authorId="1">
      <text>
        <r>
          <rPr>
            <sz val="11"/>
            <color indexed="8"/>
            <rFont val="Helvetica Neue"/>
          </rPr>
          <t>Niesel Jennie:
Avser moms på styckpris eller meterpris. 
Se instruktionsfliken om moms ska inkluderas eller inte</t>
        </r>
      </text>
    </comment>
    <comment ref="M35" authorId="1">
      <text>
        <r>
          <rPr>
            <sz val="11"/>
            <color indexed="8"/>
            <rFont val="Helvetica Neue"/>
          </rPr>
          <t>Niesel Jennie:
Multiplicera antal och styckpris  på egen rad och/eller antal och meterpris på egen rad. 
Se instruktionsfliken om moms är aktuellt</t>
        </r>
      </text>
    </comment>
    <comment ref="C43" authorId="1">
      <text>
        <r>
          <rPr>
            <sz val="11"/>
            <color indexed="8"/>
            <rFont val="Helvetica Neue"/>
          </rPr>
          <t>Niesel Jennie:
Varje typ av resekostnad redovisas på egen rad. 
Konsulters resor tas upp under köpta tjänster.</t>
        </r>
      </text>
    </comment>
    <comment ref="K43" authorId="1">
      <text>
        <r>
          <rPr>
            <sz val="11"/>
            <color indexed="8"/>
            <rFont val="Helvetica Neue"/>
          </rPr>
          <t>Niesel Jennie:
Varje typ av resekostnad redovisas på egen rad.</t>
        </r>
      </text>
    </comment>
    <comment ref="L43" authorId="1">
      <text>
        <r>
          <rPr>
            <sz val="11"/>
            <color indexed="8"/>
            <rFont val="Helvetica Neue"/>
          </rPr>
          <t>Niesel Jennie:
Se instruktionsfliken om moms ska inkluderas eller inte</t>
        </r>
      </text>
    </comment>
    <comment ref="M43" authorId="1">
      <text>
        <r>
          <rPr>
            <sz val="11"/>
            <color indexed="8"/>
            <rFont val="Helvetica Neue"/>
          </rPr>
          <t>Niesel Jennie:
Se instruktionsfliken om moms ska inkluderas eller inte</t>
        </r>
      </text>
    </comment>
    <comment ref="C44" authorId="1">
      <text>
        <r>
          <rPr>
            <sz val="11"/>
            <color indexed="8"/>
            <rFont val="Helvetica Neue"/>
          </rPr>
          <t xml:space="preserve">Niesel Jennie:
Bilersättning räknas som en resekostnad upp till 2 kr/km. Detta avser egna resor. </t>
        </r>
      </text>
    </comment>
    <comment ref="K44" authorId="1">
      <text>
        <r>
          <rPr>
            <sz val="11"/>
            <color indexed="8"/>
            <rFont val="Helvetica Neue"/>
          </rPr>
          <t xml:space="preserve">Niesel Jennie:
Multiplicera antal km med 2 (maxersättning) på egen rad. </t>
        </r>
      </text>
    </comment>
    <comment ref="C53" authorId="2">
      <text>
        <r>
          <rPr>
            <sz val="11"/>
            <color indexed="8"/>
            <rFont val="Helvetica Neue"/>
          </rPr>
          <t xml:space="preserve">Norling Staland Åsa:
Beskriv vad den ideella arbetsinsatsen ska bestå av. </t>
        </r>
      </text>
    </comment>
    <comment ref="K53" authorId="2">
      <text>
        <r>
          <rPr>
            <sz val="11"/>
            <color indexed="8"/>
            <rFont val="Helvetica Neue"/>
          </rPr>
          <t>Norling Staland Åsa:
Värde av ideellt arbete kan beräknas till högst 200 kr/timme</t>
        </r>
      </text>
    </comment>
  </commentList>
</comments>
</file>

<file path=xl/sharedStrings.xml><?xml version="1.0" encoding="utf-8"?>
<sst xmlns="http://schemas.openxmlformats.org/spreadsheetml/2006/main" uniqueCount="144">
  <si>
    <t>Instruktioner</t>
  </si>
  <si>
    <t>Fyll i budgetfliken med vägledning från exempelfliken.</t>
  </si>
  <si>
    <t>De tomma fälten fylls i där det är relevant. Fälten med "0-or" innehåller formler som beräknas automatiskt.</t>
  </si>
  <si>
    <t>Lägg till fler kolumner för åtgärder vid behov.</t>
  </si>
  <si>
    <r>
      <rPr>
        <sz val="11"/>
        <color indexed="8"/>
        <rFont val="Calibri"/>
      </rPr>
      <t xml:space="preserve">Lägg till fler rader för kostnader vid behov (markera raden, högerklicka och välj Infoga). </t>
    </r>
    <r>
      <rPr>
        <i val="1"/>
        <sz val="11"/>
        <color indexed="8"/>
        <rFont val="Calibri"/>
      </rPr>
      <t>OBS -Formler följer inte med när du lägger till ny rad. Enklast är att kopiera från rad intill.</t>
    </r>
  </si>
  <si>
    <t>Om enhet saknas - använd i första hand de tomma kolumnerna genom att sätta passande rubrik.</t>
  </si>
  <si>
    <t>Ska moms ingå eller ej?</t>
  </si>
  <si>
    <t>Mervärdesskatt är som regel inte bidragsgrundande, d v s moms ska inte finnas med i ansökan om bidrag. I de fall den som utför åtgärden och har kostnaden för åtgärden inte är mervärdesskattepliktig är dock mervärdesskatten bidragsgrundande. En ideell förening, till exempel, är ytterst sällan registrerad för mervärdesskatt.</t>
  </si>
  <si>
    <t>Om kostnaden för en åtgärd är inklusive moms i ansökan ska detta anges.</t>
  </si>
  <si>
    <t>Scenario A: Projektet drivs av mervärdesskattepliktig aktör (t.ex. kommun) som har kostnaderna:  ange kostnader exklusive moms</t>
  </si>
  <si>
    <t>Scenario B: Projektet drivs av ej mervärdesskattepliktig aktör som har kostnaderna: ange kostnader inklusive moms</t>
  </si>
  <si>
    <t>Eget arbete</t>
  </si>
  <si>
    <t>Lönefinansierat arbete räknas både som en kostnad och som medfinansiering. Detta räknas som timlön inkl sociala avgifter/LKP (semesterersättning etc) men exkl OH (kostnad för datorarbetsplats, papper etc).</t>
  </si>
  <si>
    <t>Ideellt arbete</t>
  </si>
  <si>
    <t>Enligt Naturvårdsverkets vägledning värderas ideellt arbete till högst 200 kr/tim. Ideellt arbete kan användas som medfinansiering och räknas med i projektets totala kostnad.</t>
  </si>
  <si>
    <t>För att berättiga till fullt LONA bidrag (50%) måste minst hälften av projektets totala kostnad utgöras av faktiska kostnader (kontanta utgifter eller utgifter för anställd personal).</t>
  </si>
  <si>
    <t>Resor</t>
  </si>
  <si>
    <t>Bilersättning:</t>
  </si>
  <si>
    <t>Bilresor som är kostnader i projektet kan tas upp med upp till 2 kr/km.</t>
  </si>
  <si>
    <t xml:space="preserve">Bränsle: </t>
  </si>
  <si>
    <t>Kostnader för bränsle exkl/inkl moms tillkommer enligt scenario A/B ovan.</t>
  </si>
  <si>
    <t xml:space="preserve">Utlägg resor: </t>
  </si>
  <si>
    <t>utlägg för resor (t.ex. tågresor) exkl/inkl moms räknas enligt scenario A/B ovan.</t>
  </si>
  <si>
    <t xml:space="preserve">Hyra fordon: </t>
  </si>
  <si>
    <t>kostnader för hyra av fordon exkl/inkl moms räknas enligt scenario A/B ovan.</t>
  </si>
  <si>
    <t>Resor för konsulter tas upp under köpta tjänster.</t>
  </si>
  <si>
    <t>Exempel budget LONA-ansökan</t>
  </si>
  <si>
    <t>I registret/ansökan</t>
  </si>
  <si>
    <t>Åtgärd nr</t>
  </si>
  <si>
    <t>Planerat resultat</t>
  </si>
  <si>
    <t>Kommun:</t>
  </si>
  <si>
    <t>Exempel kommun</t>
  </si>
  <si>
    <t>Inventering enligt metod i bilaga X</t>
  </si>
  <si>
    <t>Projektnamn:</t>
  </si>
  <si>
    <t>Exempel</t>
  </si>
  <si>
    <t>Före och efter genomförd restaurering i åtg 2</t>
  </si>
  <si>
    <t>500mx45m (vattendraget ca 5m brett, strand+zon 2x20m)</t>
  </si>
  <si>
    <t>Scenario A: Projektet drivs av mervärdesskattepliktig aktör (t.ex. kommun) som har kostnaderna.</t>
  </si>
  <si>
    <t>Restaurering av vattendraget V enligt metod i bilaga Y</t>
  </si>
  <si>
    <t>(vattendraget 5m brett, 500 m långt, markerat på karta)</t>
  </si>
  <si>
    <t>1. Faktiska kostnader</t>
  </si>
  <si>
    <t>Guidad tur för allmänheten under 1 dag</t>
  </si>
  <si>
    <t>ÅTGÄRD NR</t>
  </si>
  <si>
    <t>KÖPTA TJÄNSTER SPEC</t>
  </si>
  <si>
    <t>Timmar</t>
  </si>
  <si>
    <r>
      <rPr>
        <b val="1"/>
        <sz val="11"/>
        <color indexed="8"/>
        <rFont val="Calibri"/>
      </rPr>
      <t xml:space="preserve">à timlön
</t>
    </r>
    <r>
      <rPr>
        <sz val="11"/>
        <color indexed="8"/>
        <rFont val="Calibri"/>
      </rPr>
      <t>exkl moms, kr</t>
    </r>
  </si>
  <si>
    <r>
      <rPr>
        <b val="1"/>
        <sz val="11"/>
        <color indexed="8"/>
        <rFont val="Calibri"/>
      </rPr>
      <t xml:space="preserve">Kostnad 
</t>
    </r>
    <r>
      <rPr>
        <sz val="11"/>
        <color indexed="8"/>
        <rFont val="Calibri"/>
      </rPr>
      <t>exkl moms, kr</t>
    </r>
  </si>
  <si>
    <t>Moms, kr</t>
  </si>
  <si>
    <r>
      <rPr>
        <b val="1"/>
        <sz val="11"/>
        <color indexed="8"/>
        <rFont val="Calibri"/>
      </rPr>
      <t xml:space="preserve">Kostnad 
</t>
    </r>
    <r>
      <rPr>
        <sz val="11"/>
        <color indexed="8"/>
        <rFont val="Calibri"/>
      </rPr>
      <t>inkl moms, kr</t>
    </r>
  </si>
  <si>
    <t>Åtgärd 1</t>
  </si>
  <si>
    <t>Åtgärd 2</t>
  </si>
  <si>
    <t>Åtgärd 3</t>
  </si>
  <si>
    <t>2 konsulter, fältarbete 1 vecka</t>
  </si>
  <si>
    <t xml:space="preserve">1 konsult, rapport 1 vecka </t>
  </si>
  <si>
    <t>Konsult, guidning 1 dag</t>
  </si>
  <si>
    <t>Maskinhyra+förare 7 dagar</t>
  </si>
  <si>
    <t>Hyra av buss+ förare, 1 dag</t>
  </si>
  <si>
    <t>Summa:</t>
  </si>
  <si>
    <t>EGET ARBETE SPEC</t>
  </si>
  <si>
    <r>
      <rPr>
        <b val="1"/>
        <sz val="11"/>
        <color indexed="8"/>
        <rFont val="Calibri"/>
      </rPr>
      <t xml:space="preserve">à timlön 
</t>
    </r>
    <r>
      <rPr>
        <sz val="11"/>
        <color indexed="8"/>
        <rFont val="Calibri"/>
      </rPr>
      <t>exkl OH, kr</t>
    </r>
  </si>
  <si>
    <r>
      <rPr>
        <b val="1"/>
        <sz val="11"/>
        <color indexed="8"/>
        <rFont val="Calibri"/>
      </rPr>
      <t xml:space="preserve">Kostnad 
</t>
    </r>
    <r>
      <rPr>
        <sz val="11"/>
        <color indexed="8"/>
        <rFont val="Calibri"/>
      </rPr>
      <t>exkl OH, kr</t>
    </r>
  </si>
  <si>
    <t>1, 2, 3</t>
  </si>
  <si>
    <t>Rapportering, uppföljning, Artportalen, 3 veckor</t>
  </si>
  <si>
    <t>1, 2</t>
  </si>
  <si>
    <t>GIS-arbete, 2 veckor</t>
  </si>
  <si>
    <t>Guidning inkl för- och efterarbete, 3 dagar</t>
  </si>
  <si>
    <t>MATERIAL  SPEC</t>
  </si>
  <si>
    <t>Inköp av GPS</t>
  </si>
  <si>
    <t>Lekgrus</t>
  </si>
  <si>
    <t>Fika till guidningen, 100 pers</t>
  </si>
  <si>
    <t>RESOR SPEC</t>
  </si>
  <si>
    <t>Antal 
km</t>
  </si>
  <si>
    <t>Bilersättning (2 kr/km)</t>
  </si>
  <si>
    <t xml:space="preserve">Summa: </t>
  </si>
  <si>
    <t>SUMMA FAKTISKA KOSTNADER:</t>
  </si>
  <si>
    <t>2. Ideellt arbete</t>
  </si>
  <si>
    <t>IDEELLT ARBETE SPEC</t>
  </si>
  <si>
    <t>Antal 
personer</t>
  </si>
  <si>
    <t>Timvärde 
idell tid, kr</t>
  </si>
  <si>
    <t>Värde 
ideell tid, kr</t>
  </si>
  <si>
    <t>Medverka i inventering före och efter restaurering</t>
  </si>
  <si>
    <t>Medverka i guidning</t>
  </si>
  <si>
    <t>TOTAL KOSTNAD (inkl ideellt arbete):</t>
  </si>
  <si>
    <t>3. Finansiering</t>
  </si>
  <si>
    <t>Belopp, kr</t>
  </si>
  <si>
    <t>Sökt Lona-bidrag:</t>
  </si>
  <si>
    <t>Medfinansiering:</t>
  </si>
  <si>
    <t>varav</t>
  </si>
  <si>
    <t>utgör eget arbete (lön inkl sociala avgifter, exkl OH)</t>
  </si>
  <si>
    <t>utgör värde ideell tid (max 200 kr/tim)</t>
  </si>
  <si>
    <t xml:space="preserve">utgör kontanta medel </t>
  </si>
  <si>
    <t>Totalt:</t>
  </si>
  <si>
    <t>Budget LONA-ansökan</t>
  </si>
  <si>
    <t>Se kommentarerna i respektive cell samt instruktionsfliken för information om vilka kolumner som ska fyllas i och hur</t>
  </si>
  <si>
    <t>Enköpings kommun</t>
  </si>
  <si>
    <t>Rensning av Ekolsunds dammsystem</t>
  </si>
  <si>
    <t>1.1 Köpta tjänster</t>
  </si>
  <si>
    <t>Antal</t>
  </si>
  <si>
    <r>
      <rPr>
        <b val="1"/>
        <sz val="11"/>
        <color indexed="8"/>
        <rFont val="Calibri"/>
      </rPr>
      <t xml:space="preserve">Etableringspris 
</t>
    </r>
    <r>
      <rPr>
        <sz val="11"/>
        <color indexed="8"/>
        <rFont val="Calibri"/>
      </rPr>
      <t>exkl moms, kr</t>
    </r>
  </si>
  <si>
    <r>
      <rPr>
        <b val="1"/>
        <sz val="11"/>
        <color indexed="8"/>
        <rFont val="Calibri"/>
      </rPr>
      <t xml:space="preserve">à 
</t>
    </r>
    <r>
      <rPr>
        <sz val="11"/>
        <color indexed="8"/>
        <rFont val="Calibri"/>
      </rPr>
      <t>exkl moms, kr</t>
    </r>
  </si>
  <si>
    <t>1-3</t>
  </si>
  <si>
    <t>Antikvarisk medverkan - Byggnadsminne</t>
  </si>
  <si>
    <t>Borttagning träd och buskar</t>
  </si>
  <si>
    <t>Platschef och arbetsledning</t>
  </si>
  <si>
    <t>Långgrävare</t>
  </si>
  <si>
    <t>Dumper</t>
  </si>
  <si>
    <t>Bulldoser</t>
  </si>
  <si>
    <t>Grävmaskin</t>
  </si>
  <si>
    <t>1</t>
  </si>
  <si>
    <t>Stockmattor (dagar)</t>
  </si>
  <si>
    <t>Återställning av grönytor (m2)</t>
  </si>
  <si>
    <t>1.2 Eget arbete</t>
  </si>
  <si>
    <r>
      <rPr>
        <b val="1"/>
        <sz val="11"/>
        <color indexed="8"/>
        <rFont val="Calibri"/>
      </rPr>
      <t xml:space="preserve">Timlön 
</t>
    </r>
    <r>
      <rPr>
        <sz val="11"/>
        <color indexed="8"/>
        <rFont val="Calibri"/>
      </rPr>
      <t>exkl OH, kr</t>
    </r>
  </si>
  <si>
    <t>Anbud och upphandling</t>
  </si>
  <si>
    <t xml:space="preserve">Handledning entreprenörer / samverkansplanering </t>
  </si>
  <si>
    <t>Slutrapport</t>
  </si>
  <si>
    <t>Upprättande av anbudsunderlag</t>
  </si>
  <si>
    <t>Tillståndsansöknigar</t>
  </si>
  <si>
    <t>Arkeologisk medverkan</t>
  </si>
  <si>
    <t>Projektmedverkan under genomförande</t>
  </si>
  <si>
    <t>Möten med media, grannar, entreprenörer</t>
  </si>
  <si>
    <t>1.3 Material</t>
  </si>
  <si>
    <r>
      <rPr>
        <b val="1"/>
        <sz val="11"/>
        <color indexed="8"/>
        <rFont val="Calibri"/>
      </rPr>
      <t xml:space="preserve">Styckpris 
</t>
    </r>
    <r>
      <rPr>
        <sz val="11"/>
        <color indexed="8"/>
        <rFont val="Calibri"/>
      </rPr>
      <t>exkl moms, kr</t>
    </r>
  </si>
  <si>
    <r>
      <rPr>
        <b val="1"/>
        <sz val="11"/>
        <color indexed="8"/>
        <rFont val="Calibri"/>
      </rPr>
      <t xml:space="preserve">Styckpris 
</t>
    </r>
    <r>
      <rPr>
        <sz val="11"/>
        <color indexed="8"/>
        <rFont val="Calibri"/>
      </rPr>
      <t>inkl moms, kr</t>
    </r>
  </si>
  <si>
    <r>
      <rPr>
        <b val="1"/>
        <sz val="11"/>
        <color indexed="8"/>
        <rFont val="Calibri"/>
      </rPr>
      <t xml:space="preserve">Kilopris 
</t>
    </r>
    <r>
      <rPr>
        <sz val="11"/>
        <color indexed="8"/>
        <rFont val="Calibri"/>
      </rPr>
      <t>exkl moms</t>
    </r>
  </si>
  <si>
    <r>
      <rPr>
        <b val="1"/>
        <sz val="11"/>
        <color indexed="8"/>
        <rFont val="Calibri"/>
      </rPr>
      <t xml:space="preserve">Kilopris 
</t>
    </r>
    <r>
      <rPr>
        <sz val="11"/>
        <color indexed="8"/>
        <rFont val="Calibri"/>
      </rPr>
      <t>inkl moms</t>
    </r>
  </si>
  <si>
    <r>
      <rPr>
        <b val="1"/>
        <sz val="11"/>
        <color indexed="8"/>
        <rFont val="Calibri"/>
      </rPr>
      <t xml:space="preserve">Meterpris 
</t>
    </r>
    <r>
      <rPr>
        <sz val="11"/>
        <color indexed="8"/>
        <rFont val="Calibri"/>
      </rPr>
      <t>exkl moms, kr</t>
    </r>
  </si>
  <si>
    <r>
      <rPr>
        <b val="1"/>
        <sz val="11"/>
        <color indexed="8"/>
        <rFont val="Calibri"/>
      </rPr>
      <t xml:space="preserve">Meterpris 
</t>
    </r>
    <r>
      <rPr>
        <sz val="11"/>
        <color indexed="8"/>
        <rFont val="Calibri"/>
      </rPr>
      <t>inkl moms, kr</t>
    </r>
  </si>
  <si>
    <t>Gräsfrö lågväxande och rotbindande</t>
  </si>
  <si>
    <t>1-2</t>
  </si>
  <si>
    <t>Rör 500mm 6m inkl. tätning</t>
  </si>
  <si>
    <t>Grus till återställning av vägar</t>
  </si>
  <si>
    <t>Jord för återställning av gräsytor</t>
  </si>
  <si>
    <t>1.4 Resor</t>
  </si>
  <si>
    <t>Antal km</t>
  </si>
  <si>
    <t>Värde 
idell tid, kr</t>
  </si>
  <si>
    <t>3. Total kostnad</t>
  </si>
  <si>
    <t>TOTAL KOSTNAD (faktiska kostnader + ideellt arbete):</t>
  </si>
  <si>
    <t>4. Finansiering</t>
  </si>
  <si>
    <t>Medfinansiering totalt:</t>
  </si>
  <si>
    <t>Åtgärdsnummer</t>
  </si>
  <si>
    <t xml:space="preserve">Rensning av dammen Canalen som delas av Ekolsundsvägen. Parallellt översvämningsdike som nyttjas för överflödsvatten ses över. Dammen återfår sin 1600-tals utformning som en spade. Upprättande av dokumentation av utförd åtgärd samt eventuella arkeologiska fynd. Halva dammen är inom byggnadsminne. Massorna placeras nordväst om dammen i direkt närhet. </t>
  </si>
  <si>
    <t xml:space="preserve">Omgivande barrträd och buskar tas bort, ädellöv bevaras. Rensning av dammen Lycksalighetens ö och därmed återskapande av dess 1600-tals form. Ut och inlopp ses över och massorna placeras på ön eller i direkt närhet på utsidan. </t>
  </si>
  <si>
    <t xml:space="preserve">Rensning av dammen Lillian som ursprungligen har haft en cirkulär form. I dagsläget en halvmåneform. Materialet körs uppströms till samma plats som ovanliggande Canalens massor.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</si>
</sst>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%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6"/>
      <color indexed="8"/>
      <name val="Calibri"/>
    </font>
    <font>
      <i val="1"/>
      <sz val="11"/>
      <color indexed="8"/>
      <name val="Calibri"/>
    </font>
    <font>
      <b val="1"/>
      <sz val="11"/>
      <color indexed="8"/>
      <name val="Calibri"/>
    </font>
    <font>
      <sz val="18"/>
      <color indexed="8"/>
      <name val="Calibri"/>
    </font>
    <font>
      <sz val="14"/>
      <color indexed="8"/>
      <name val="Calibri"/>
    </font>
    <font>
      <sz val="10"/>
      <color indexed="8"/>
      <name val="Calibri"/>
    </font>
    <font>
      <sz val="11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top" wrapText="1"/>
    </xf>
    <xf numFmtId="0" fontId="0" fillId="2" borderId="1" applyNumberFormat="0" applyFont="1" applyFill="1" applyBorder="1" applyAlignment="1" applyProtection="0">
      <alignment horizontal="left" vertical="top" wrapText="1"/>
    </xf>
    <xf numFmtId="49" fontId="0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3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7" fillId="2" borderId="3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horizontal="center" vertical="bottom"/>
    </xf>
    <xf numFmtId="49" fontId="5" fillId="3" borderId="4" applyNumberFormat="1" applyFont="1" applyFill="1" applyBorder="1" applyAlignment="1" applyProtection="0">
      <alignment horizontal="center" vertical="top"/>
    </xf>
    <xf numFmtId="49" fontId="5" fillId="3" borderId="4" applyNumberFormat="1" applyFont="1" applyFill="1" applyBorder="1" applyAlignment="1" applyProtection="0">
      <alignment vertical="top"/>
    </xf>
    <xf numFmtId="0" fontId="0" fillId="3" borderId="4" applyNumberFormat="0" applyFont="1" applyFill="1" applyBorder="1" applyAlignment="1" applyProtection="0">
      <alignment vertical="top"/>
    </xf>
    <xf numFmtId="49" fontId="5" fillId="3" borderId="4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3" fontId="0" fillId="2" borderId="4" applyNumberFormat="1" applyFont="1" applyFill="1" applyBorder="1" applyAlignment="1" applyProtection="0">
      <alignment vertical="bottom"/>
    </xf>
    <xf numFmtId="3" fontId="5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top"/>
    </xf>
    <xf numFmtId="49" fontId="0" fillId="2" borderId="4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 wrapText="1"/>
    </xf>
    <xf numFmtId="0" fontId="0" fillId="2" borderId="4" applyNumberFormat="1" applyFont="1" applyFill="1" applyBorder="1" applyAlignment="1" applyProtection="0">
      <alignment vertical="bottom" wrapText="1"/>
    </xf>
    <xf numFmtId="3" fontId="0" fillId="2" borderId="4" applyNumberFormat="1" applyFont="1" applyFill="1" applyBorder="1" applyAlignment="1" applyProtection="0">
      <alignment vertical="bottom" wrapText="1"/>
    </xf>
    <xf numFmtId="49" fontId="5" fillId="2" borderId="4" applyNumberFormat="1" applyFont="1" applyFill="1" applyBorder="1" applyAlignment="1" applyProtection="0">
      <alignment vertical="bottom" wrapText="1"/>
    </xf>
    <xf numFmtId="0" fontId="5" fillId="2" borderId="4" applyNumberFormat="0" applyFont="1" applyFill="1" applyBorder="1" applyAlignment="1" applyProtection="0">
      <alignment vertical="bottom" wrapText="1"/>
    </xf>
    <xf numFmtId="0" fontId="5" fillId="2" borderId="4" applyNumberFormat="1" applyFont="1" applyFill="1" applyBorder="1" applyAlignment="1" applyProtection="0">
      <alignment vertical="bottom" wrapText="1"/>
    </xf>
    <xf numFmtId="3" fontId="5" fillId="2" borderId="4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0" fontId="0" fillId="3" borderId="4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3" fontId="0" fillId="2" borderId="10" applyNumberFormat="1" applyFont="1" applyFill="1" applyBorder="1" applyAlignment="1" applyProtection="0">
      <alignment vertical="bottom"/>
    </xf>
    <xf numFmtId="3" fontId="0" fillId="2" borderId="8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horizontal="right" vertical="bottom"/>
    </xf>
    <xf numFmtId="49" fontId="0" fillId="2" borderId="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6" fillId="2" borderId="13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0" fillId="2" borderId="15" applyNumberFormat="1" applyFont="1" applyFill="1" applyBorder="1" applyAlignment="1" applyProtection="0">
      <alignment horizontal="left" vertical="bottom"/>
    </xf>
    <xf numFmtId="0" fontId="0" fillId="2" borderId="10" applyNumberFormat="0" applyFont="1" applyFill="1" applyBorder="1" applyAlignment="1" applyProtection="0">
      <alignment horizontal="left" vertical="bottom"/>
    </xf>
    <xf numFmtId="0" fontId="0" fillId="2" borderId="16" applyNumberFormat="0" applyFont="1" applyFill="1" applyBorder="1" applyAlignment="1" applyProtection="0">
      <alignment horizontal="left" vertical="bottom"/>
    </xf>
    <xf numFmtId="0" fontId="8" fillId="2" borderId="5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5" fillId="3" borderId="19" applyNumberFormat="1" applyFont="1" applyFill="1" applyBorder="1" applyAlignment="1" applyProtection="0">
      <alignment horizontal="left" vertical="top"/>
    </xf>
    <xf numFmtId="49" fontId="5" fillId="3" borderId="20" applyNumberFormat="1" applyFont="1" applyFill="1" applyBorder="1" applyAlignment="1" applyProtection="0">
      <alignment vertical="top"/>
    </xf>
    <xf numFmtId="49" fontId="5" fillId="3" borderId="20" applyNumberFormat="1" applyFont="1" applyFill="1" applyBorder="1" applyAlignment="1" applyProtection="0">
      <alignment vertical="top" wrapText="1"/>
    </xf>
    <xf numFmtId="0" fontId="5" fillId="3" borderId="20" applyNumberFormat="0" applyFont="1" applyFill="1" applyBorder="1" applyAlignment="1" applyProtection="0">
      <alignment vertical="top"/>
    </xf>
    <xf numFmtId="49" fontId="0" fillId="2" borderId="21" applyNumberFormat="1" applyFont="1" applyFill="1" applyBorder="1" applyAlignment="1" applyProtection="0">
      <alignment horizontal="left" vertical="bottom"/>
    </xf>
    <xf numFmtId="49" fontId="0" fillId="2" borderId="22" applyNumberFormat="1" applyFont="1" applyFill="1" applyBorder="1" applyAlignment="1" applyProtection="0">
      <alignment horizontal="left" vertical="bottom"/>
    </xf>
    <xf numFmtId="49" fontId="0" fillId="2" borderId="23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3" fontId="0" fillId="2" borderId="23" applyNumberFormat="1" applyFont="1" applyFill="1" applyBorder="1" applyAlignment="1" applyProtection="0">
      <alignment vertical="bottom"/>
    </xf>
    <xf numFmtId="0" fontId="0" fillId="2" borderId="23" applyNumberFormat="1" applyFont="1" applyFill="1" applyBorder="1" applyAlignment="1" applyProtection="0">
      <alignment vertical="bottom"/>
    </xf>
    <xf numFmtId="0" fontId="5" fillId="2" borderId="24" applyNumberFormat="0" applyFont="1" applyFill="1" applyBorder="1" applyAlignment="1" applyProtection="0">
      <alignment horizontal="left" vertical="bottom"/>
    </xf>
    <xf numFmtId="49" fontId="0" fillId="2" borderId="25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3" fontId="0" fillId="2" borderId="25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0" fontId="5" fillId="2" borderId="13" applyNumberFormat="0" applyFont="1" applyFill="1" applyBorder="1" applyAlignment="1" applyProtection="0">
      <alignment horizontal="left" vertical="bottom"/>
    </xf>
    <xf numFmtId="3" fontId="0" fillId="2" borderId="13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horizontal="left" vertical="bottom"/>
    </xf>
    <xf numFmtId="49" fontId="5" fillId="3" borderId="26" applyNumberFormat="1" applyFont="1" applyFill="1" applyBorder="1" applyAlignment="1" applyProtection="0">
      <alignment vertical="top"/>
    </xf>
    <xf numFmtId="0" fontId="0" fillId="3" borderId="20" applyNumberFormat="0" applyFont="1" applyFill="1" applyBorder="1" applyAlignment="1" applyProtection="0">
      <alignment vertical="top"/>
    </xf>
    <xf numFmtId="49" fontId="0" fillId="2" borderId="25" applyNumberFormat="1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 wrapText="1"/>
    </xf>
    <xf numFmtId="0" fontId="0" fillId="2" borderId="25" applyNumberFormat="1" applyFont="1" applyFill="1" applyBorder="1" applyAlignment="1" applyProtection="0">
      <alignment vertical="bottom" wrapText="1"/>
    </xf>
    <xf numFmtId="3" fontId="0" fillId="2" borderId="25" applyNumberFormat="1" applyFont="1" applyFill="1" applyBorder="1" applyAlignment="1" applyProtection="0">
      <alignment vertical="bottom" wrapText="1"/>
    </xf>
    <xf numFmtId="0" fontId="0" fillId="2" borderId="13" applyNumberFormat="0" applyFont="1" applyFill="1" applyBorder="1" applyAlignment="1" applyProtection="0">
      <alignment vertical="bottom" wrapText="1"/>
    </xf>
    <xf numFmtId="3" fontId="0" fillId="2" borderId="13" applyNumberFormat="1" applyFont="1" applyFill="1" applyBorder="1" applyAlignment="1" applyProtection="0">
      <alignment vertical="bottom" wrapText="1"/>
    </xf>
    <xf numFmtId="0" fontId="0" fillId="2" borderId="17" applyNumberFormat="0" applyFont="1" applyFill="1" applyBorder="1" applyAlignment="1" applyProtection="0">
      <alignment vertical="bottom" wrapText="1"/>
    </xf>
    <xf numFmtId="1" fontId="0" fillId="2" borderId="4" applyNumberFormat="1" applyFont="1" applyFill="1" applyBorder="1" applyAlignment="1" applyProtection="0">
      <alignment vertical="bottom"/>
    </xf>
    <xf numFmtId="1" fontId="0" fillId="2" borderId="23" applyNumberFormat="1" applyFont="1" applyFill="1" applyBorder="1" applyAlignment="1" applyProtection="0">
      <alignment vertical="bottom"/>
    </xf>
    <xf numFmtId="3" fontId="5" fillId="2" borderId="23" applyNumberFormat="1" applyFont="1" applyFill="1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horizontal="left" vertical="bottom"/>
    </xf>
    <xf numFmtId="0" fontId="0" fillId="2" borderId="22" applyNumberFormat="0" applyFont="1" applyFill="1" applyBorder="1" applyAlignment="1" applyProtection="0">
      <alignment horizontal="left" vertical="bottom"/>
    </xf>
    <xf numFmtId="0" fontId="0" fillId="2" borderId="27" applyNumberFormat="0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vertical="bottom"/>
    </xf>
    <xf numFmtId="3" fontId="0" fillId="2" borderId="27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3" fontId="0" fillId="2" borderId="17" applyNumberFormat="1" applyFont="1" applyFill="1" applyBorder="1" applyAlignment="1" applyProtection="0">
      <alignment vertical="bottom"/>
    </xf>
    <xf numFmtId="0" fontId="5" fillId="3" borderId="20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bottom"/>
    </xf>
    <xf numFmtId="0" fontId="5" fillId="2" borderId="24" applyNumberFormat="0" applyFont="1" applyFill="1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vertical="bottom"/>
    </xf>
    <xf numFmtId="0" fontId="5" fillId="2" borderId="25" applyNumberFormat="0" applyFont="1" applyFill="1" applyBorder="1" applyAlignment="1" applyProtection="0">
      <alignment vertical="bottom"/>
    </xf>
    <xf numFmtId="0" fontId="5" fillId="2" borderId="25" applyNumberFormat="1" applyFont="1" applyFill="1" applyBorder="1" applyAlignment="1" applyProtection="0">
      <alignment vertical="bottom"/>
    </xf>
    <xf numFmtId="0" fontId="5" fillId="2" borderId="13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vertical="bottom"/>
    </xf>
    <xf numFmtId="0" fontId="5" fillId="2" borderId="28" applyNumberFormat="0" applyFont="1" applyFill="1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horizontal="right" vertical="bottom"/>
    </xf>
    <xf numFmtId="3" fontId="5" fillId="2" borderId="25" applyNumberFormat="1" applyFont="1" applyFill="1" applyBorder="1" applyAlignment="1" applyProtection="0">
      <alignment vertical="bottom"/>
    </xf>
    <xf numFmtId="3" fontId="5" fillId="2" borderId="13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horizontal="right" vertical="bottom"/>
    </xf>
    <xf numFmtId="49" fontId="0" fillId="2" borderId="19" applyNumberFormat="1" applyFont="1" applyFill="1" applyBorder="1" applyAlignment="1" applyProtection="0">
      <alignment vertical="bottom"/>
    </xf>
    <xf numFmtId="3" fontId="4" fillId="2" borderId="29" applyNumberFormat="1" applyFont="1" applyFill="1" applyBorder="1" applyAlignment="1" applyProtection="0">
      <alignment horizontal="right" vertical="bottom"/>
    </xf>
    <xf numFmtId="49" fontId="0" fillId="2" borderId="21" applyNumberFormat="1" applyFont="1" applyFill="1" applyBorder="1" applyAlignment="1" applyProtection="0">
      <alignment vertical="bottom"/>
    </xf>
    <xf numFmtId="3" fontId="0" fillId="2" borderId="30" applyNumberFormat="1" applyFont="1" applyFill="1" applyBorder="1" applyAlignment="1" applyProtection="0">
      <alignment horizontal="right" vertical="bottom"/>
    </xf>
    <xf numFmtId="59" fontId="0" fillId="2" borderId="14" applyNumberFormat="1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horizontal="right" vertical="bottom"/>
    </xf>
    <xf numFmtId="3" fontId="4" fillId="2" borderId="30" applyNumberFormat="1" applyFont="1" applyFill="1" applyBorder="1" applyAlignment="1" applyProtection="0">
      <alignment horizontal="right" vertical="bottom"/>
    </xf>
    <xf numFmtId="49" fontId="0" fillId="2" borderId="14" applyNumberFormat="1" applyFont="1" applyFill="1" applyBorder="1" applyAlignment="1" applyProtection="0">
      <alignment vertical="bottom"/>
    </xf>
    <xf numFmtId="49" fontId="0" fillId="2" borderId="22" applyNumberFormat="1" applyFont="1" applyFill="1" applyBorder="1" applyAlignment="1" applyProtection="0">
      <alignment horizontal="right" vertical="bottom" wrapText="1"/>
    </xf>
    <xf numFmtId="3" fontId="4" fillId="2" borderId="31" applyNumberFormat="1" applyFont="1" applyFill="1" applyBorder="1" applyAlignment="1" applyProtection="0">
      <alignment horizontal="right" vertical="bottom"/>
    </xf>
    <xf numFmtId="49" fontId="0" fillId="2" borderId="24" applyNumberFormat="1" applyFont="1" applyFill="1" applyBorder="1" applyAlignment="1" applyProtection="0">
      <alignment vertical="bottom"/>
    </xf>
    <xf numFmtId="3" fontId="0" fillId="2" borderId="3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33" applyNumberFormat="1" applyFont="1" applyFill="1" applyBorder="1" applyAlignment="1" applyProtection="0">
      <alignment horizontal="center" vertical="center"/>
    </xf>
    <xf numFmtId="0" fontId="5" fillId="4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5" fillId="5" borderId="37" applyNumberFormat="1" applyFont="1" applyFill="1" applyBorder="1" applyAlignment="1" applyProtection="0">
      <alignment horizontal="center" vertical="center"/>
    </xf>
    <xf numFmtId="49" fontId="0" fillId="2" borderId="38" applyNumberFormat="1" applyFont="1" applyFill="1" applyBorder="1" applyAlignment="1" applyProtection="0">
      <alignment vertical="top" wrapText="1"/>
    </xf>
    <xf numFmtId="0" fontId="0" fillId="2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5" fillId="5" borderId="42" applyNumberFormat="1" applyFont="1" applyFill="1" applyBorder="1" applyAlignment="1" applyProtection="0">
      <alignment horizontal="center" vertical="center"/>
    </xf>
    <xf numFmtId="49" fontId="0" fillId="2" borderId="43" applyNumberFormat="1" applyFont="1" applyFill="1" applyBorder="1" applyAlignment="1" applyProtection="0">
      <alignment vertical="top" wrapText="1"/>
    </xf>
    <xf numFmtId="0" fontId="0" fillId="2" borderId="44" applyNumberFormat="0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bottom"/>
    </xf>
    <xf numFmtId="0" fontId="0" fillId="2" borderId="46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33"/>
  <sheetViews>
    <sheetView workbookViewId="0" showGridLines="0" defaultGridColor="1"/>
  </sheetViews>
  <sheetFormatPr defaultColWidth="8.83333" defaultRowHeight="15" customHeight="1" outlineLevelRow="0" outlineLevelCol="0"/>
  <cols>
    <col min="1" max="1" width="12.5" style="1" customWidth="1"/>
    <col min="2" max="17" width="8.85156" style="1" customWidth="1"/>
    <col min="18" max="16384" width="8.85156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.5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3.55" customHeight="1">
      <c r="A3" t="s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3.5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5" customHeight="1">
      <c r="A5" t="s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3.55" customHeight="1">
      <c r="A6" t="s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13.55" customHeight="1">
      <c r="A7" t="s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3.55" customHeight="1">
      <c r="A8" t="s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3.5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ht="13.55" customHeight="1">
      <c r="A10" t="s" s="6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8.5" customHeight="1">
      <c r="A11" t="s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17.5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3.55" customHeight="1">
      <c r="A13" t="s" s="4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13.5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3.55" customHeight="1">
      <c r="A15" t="s" s="4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ht="13.55" customHeight="1">
      <c r="A16" t="s" s="4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13.5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3.55" customHeight="1">
      <c r="A18" t="s" s="6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4.65" customHeight="1">
      <c r="A19" t="s" s="7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ht="11.4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ht="13.5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3.55" customHeight="1">
      <c r="A22" t="s" s="6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3.55" customHeight="1">
      <c r="A23" t="s" s="4">
        <v>14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ht="13.55" customHeight="1">
      <c r="A24" t="s" s="4">
        <v>15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ht="13.5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3.55" customHeight="1">
      <c r="A26" t="s" s="6">
        <v>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3.55" customHeight="1">
      <c r="A27" t="s" s="9">
        <v>17</v>
      </c>
      <c r="B27" t="s" s="9">
        <v>18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3.55" customHeight="1">
      <c r="A28" t="s" s="9">
        <v>19</v>
      </c>
      <c r="B28" t="s" s="9">
        <v>20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3.55" customHeight="1">
      <c r="A29" t="s" s="9">
        <v>21</v>
      </c>
      <c r="B29" t="s" s="9">
        <v>22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3.55" customHeight="1">
      <c r="A30" t="s" s="9">
        <v>23</v>
      </c>
      <c r="B30" t="s" s="9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3.55" customHeight="1">
      <c r="A31" t="s" s="10">
        <v>25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3.5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3.55" customHeight="1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2">
    <mergeCell ref="A11:Q12"/>
    <mergeCell ref="A3:Q3"/>
    <mergeCell ref="A8:Q8"/>
    <mergeCell ref="A7:Q7"/>
    <mergeCell ref="A6:Q6"/>
    <mergeCell ref="A5:Q5"/>
    <mergeCell ref="A13:Q13"/>
    <mergeCell ref="A16:Q16"/>
    <mergeCell ref="A15:Q15"/>
    <mergeCell ref="A19:Q20"/>
    <mergeCell ref="A24:Q24"/>
    <mergeCell ref="A23:Q2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R54"/>
  <sheetViews>
    <sheetView workbookViewId="0" showGridLines="0" defaultGridColor="1"/>
  </sheetViews>
  <sheetFormatPr defaultColWidth="8.83333" defaultRowHeight="15" customHeight="1" outlineLevelRow="0" outlineLevelCol="0"/>
  <cols>
    <col min="1" max="1" width="18.3516" style="12" customWidth="1"/>
    <col min="2" max="2" width="45.3516" style="12" customWidth="1"/>
    <col min="3" max="3" width="9" style="12" customWidth="1"/>
    <col min="4" max="4" width="12.6719" style="12" customWidth="1"/>
    <col min="5" max="5" width="13.5" style="12" customWidth="1"/>
    <col min="6" max="8" width="12.6719" style="12" customWidth="1"/>
    <col min="9" max="14" width="8.85156" style="12" customWidth="1"/>
    <col min="15" max="15" width="52.3516" style="12" customWidth="1"/>
    <col min="16" max="18" width="8.85156" style="12" customWidth="1"/>
    <col min="19" max="16384" width="8.85156" style="12" customWidth="1"/>
  </cols>
  <sheetData>
    <row r="1" ht="23.25" customHeight="1">
      <c r="A1" t="s" s="13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t="s" s="14">
        <v>27</v>
      </c>
      <c r="O1" s="15"/>
      <c r="P1" s="3"/>
      <c r="Q1" s="16"/>
      <c r="R1" s="16"/>
    </row>
    <row r="2" ht="13.55" customHeight="1">
      <c r="A2" s="3"/>
      <c r="B2" s="15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t="s" s="18">
        <v>28</v>
      </c>
      <c r="O2" t="s" s="19">
        <v>29</v>
      </c>
      <c r="P2" s="20"/>
      <c r="Q2" s="16"/>
      <c r="R2" s="16"/>
    </row>
    <row r="3" ht="18.75" customHeight="1">
      <c r="A3" t="s" s="21">
        <v>30</v>
      </c>
      <c r="B3" t="s" s="22">
        <v>31</v>
      </c>
      <c r="C3" s="20"/>
      <c r="D3" s="3"/>
      <c r="E3" s="3"/>
      <c r="F3" s="3"/>
      <c r="G3" s="3"/>
      <c r="H3" s="3"/>
      <c r="I3" s="3"/>
      <c r="J3" s="3"/>
      <c r="K3" s="3"/>
      <c r="L3" s="3"/>
      <c r="M3" s="17"/>
      <c r="N3" s="23">
        <v>1</v>
      </c>
      <c r="O3" t="s" s="24">
        <v>32</v>
      </c>
      <c r="P3" s="20"/>
      <c r="Q3" s="16"/>
      <c r="R3" s="16"/>
    </row>
    <row r="4" ht="18.75" customHeight="1">
      <c r="A4" t="s" s="21">
        <v>33</v>
      </c>
      <c r="B4" t="s" s="22">
        <v>34</v>
      </c>
      <c r="C4" s="20"/>
      <c r="D4" s="3"/>
      <c r="E4" s="3"/>
      <c r="F4" s="3"/>
      <c r="G4" s="3"/>
      <c r="H4" s="3"/>
      <c r="I4" s="3"/>
      <c r="J4" s="3"/>
      <c r="K4" s="3"/>
      <c r="L4" s="3"/>
      <c r="M4" s="17"/>
      <c r="N4" s="25"/>
      <c r="O4" t="s" s="26">
        <v>35</v>
      </c>
      <c r="P4" s="20"/>
      <c r="Q4" s="16"/>
      <c r="R4" s="16"/>
    </row>
    <row r="5" ht="13.55" customHeight="1">
      <c r="A5" s="3"/>
      <c r="B5" s="27"/>
      <c r="C5" s="3"/>
      <c r="D5" s="3"/>
      <c r="E5" s="3"/>
      <c r="F5" s="3"/>
      <c r="G5" s="3"/>
      <c r="H5" s="3"/>
      <c r="I5" s="3"/>
      <c r="J5" s="3"/>
      <c r="K5" s="3"/>
      <c r="L5" s="3"/>
      <c r="M5" s="17"/>
      <c r="N5" s="28"/>
      <c r="O5" t="s" s="29">
        <v>36</v>
      </c>
      <c r="P5" s="20"/>
      <c r="Q5" s="16"/>
      <c r="R5" s="16"/>
    </row>
    <row r="6" ht="13.55" customHeight="1">
      <c r="A6" t="s" s="9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7"/>
      <c r="N6" s="23">
        <v>2</v>
      </c>
      <c r="O6" t="s" s="24">
        <v>38</v>
      </c>
      <c r="P6" s="20"/>
      <c r="Q6" s="16"/>
      <c r="R6" s="16"/>
    </row>
    <row r="7" ht="13.5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7"/>
      <c r="N7" s="28"/>
      <c r="O7" t="s" s="29">
        <v>39</v>
      </c>
      <c r="P7" s="20"/>
      <c r="Q7" s="3"/>
      <c r="R7" s="3"/>
    </row>
    <row r="8" ht="18.75" customHeight="1">
      <c r="A8" t="s" s="30">
        <v>40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7"/>
      <c r="N8" s="31">
        <v>3</v>
      </c>
      <c r="O8" t="s" s="22">
        <v>41</v>
      </c>
      <c r="P8" s="20"/>
      <c r="Q8" s="3"/>
      <c r="R8" s="3"/>
    </row>
    <row r="9" ht="13.5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3"/>
      <c r="M9" s="3"/>
      <c r="N9" s="27"/>
      <c r="O9" s="27"/>
      <c r="P9" s="3"/>
      <c r="Q9" s="3"/>
      <c r="R9" s="3"/>
    </row>
    <row r="10" ht="45" customHeight="1">
      <c r="A10" t="s" s="32">
        <v>42</v>
      </c>
      <c r="B10" t="s" s="33">
        <v>43</v>
      </c>
      <c r="C10" s="34"/>
      <c r="D10" t="s" s="33">
        <v>44</v>
      </c>
      <c r="E10" t="s" s="35">
        <v>45</v>
      </c>
      <c r="F10" t="s" s="35">
        <v>46</v>
      </c>
      <c r="G10" t="s" s="33">
        <v>47</v>
      </c>
      <c r="H10" t="s" s="35">
        <v>48</v>
      </c>
      <c r="I10" t="s" s="33">
        <v>49</v>
      </c>
      <c r="J10" t="s" s="33">
        <v>50</v>
      </c>
      <c r="K10" t="s" s="33">
        <v>51</v>
      </c>
      <c r="L10" s="20"/>
      <c r="M10" s="3"/>
      <c r="N10" s="3"/>
      <c r="O10" s="3"/>
      <c r="P10" s="3"/>
      <c r="Q10" s="3"/>
      <c r="R10" s="3"/>
    </row>
    <row r="11" ht="13.55" customHeight="1">
      <c r="A11" s="31">
        <v>1</v>
      </c>
      <c r="B11" t="s" s="22">
        <v>52</v>
      </c>
      <c r="C11" s="36"/>
      <c r="D11" s="37">
        <f t="shared" si="0" ref="D11:D20">2*5*8</f>
        <v>80</v>
      </c>
      <c r="E11" s="37">
        <v>750</v>
      </c>
      <c r="F11" s="38">
        <f>D11*E11</f>
        <v>60000</v>
      </c>
      <c r="G11" s="38"/>
      <c r="H11" s="38"/>
      <c r="I11" s="38">
        <f>F11</f>
        <v>60000</v>
      </c>
      <c r="J11" s="38"/>
      <c r="K11" s="38"/>
      <c r="L11" s="20"/>
      <c r="M11" s="3"/>
      <c r="N11" s="3"/>
      <c r="O11" s="3"/>
      <c r="P11" s="3"/>
      <c r="Q11" s="3"/>
      <c r="R11" s="3"/>
    </row>
    <row r="12" ht="13.55" customHeight="1">
      <c r="A12" s="31">
        <v>1</v>
      </c>
      <c r="B12" t="s" s="22">
        <v>53</v>
      </c>
      <c r="C12" s="36"/>
      <c r="D12" s="37">
        <f>1*5*8</f>
        <v>40</v>
      </c>
      <c r="E12" s="37">
        <v>750</v>
      </c>
      <c r="F12" s="38">
        <f>D12*E12</f>
        <v>30000</v>
      </c>
      <c r="G12" s="38"/>
      <c r="H12" s="38"/>
      <c r="I12" s="38">
        <f>F12</f>
        <v>30000</v>
      </c>
      <c r="J12" s="38"/>
      <c r="K12" s="38"/>
      <c r="L12" s="20"/>
      <c r="M12" s="3"/>
      <c r="N12" s="3"/>
      <c r="O12" s="3"/>
      <c r="P12" s="3"/>
      <c r="Q12" s="3"/>
      <c r="R12" s="3"/>
    </row>
    <row r="13" ht="13.55" customHeight="1">
      <c r="A13" s="31">
        <v>3</v>
      </c>
      <c r="B13" t="s" s="22">
        <v>54</v>
      </c>
      <c r="C13" s="36"/>
      <c r="D13" s="37">
        <v>8</v>
      </c>
      <c r="E13" s="37">
        <v>750</v>
      </c>
      <c r="F13" s="38">
        <f>D13*E13</f>
        <v>6000</v>
      </c>
      <c r="G13" s="38"/>
      <c r="H13" s="38"/>
      <c r="I13" s="38"/>
      <c r="J13" s="38"/>
      <c r="K13" s="38">
        <f>F13</f>
        <v>6000</v>
      </c>
      <c r="L13" s="20"/>
      <c r="M13" s="3"/>
      <c r="N13" s="3"/>
      <c r="O13" s="3"/>
      <c r="P13" s="3"/>
      <c r="Q13" s="3"/>
      <c r="R13" s="3"/>
    </row>
    <row r="14" ht="13.55" customHeight="1">
      <c r="A14" s="31">
        <v>2</v>
      </c>
      <c r="B14" t="s" s="22">
        <v>55</v>
      </c>
      <c r="C14" s="36"/>
      <c r="D14" s="37">
        <v>56</v>
      </c>
      <c r="E14" s="37">
        <v>1000</v>
      </c>
      <c r="F14" s="38">
        <f>D14*E14</f>
        <v>56000</v>
      </c>
      <c r="G14" s="38"/>
      <c r="H14" s="38"/>
      <c r="I14" s="38"/>
      <c r="J14" s="38">
        <f>F14</f>
        <v>56000</v>
      </c>
      <c r="K14" s="38"/>
      <c r="L14" s="20"/>
      <c r="M14" s="11"/>
      <c r="N14" s="3"/>
      <c r="O14" s="3"/>
      <c r="P14" s="3"/>
      <c r="Q14" s="3"/>
      <c r="R14" s="3"/>
    </row>
    <row r="15" ht="13.55" customHeight="1">
      <c r="A15" s="31">
        <v>3</v>
      </c>
      <c r="B15" t="s" s="22">
        <v>56</v>
      </c>
      <c r="C15" s="36"/>
      <c r="D15" s="36"/>
      <c r="E15" s="36"/>
      <c r="F15" s="38">
        <v>10000</v>
      </c>
      <c r="G15" s="38"/>
      <c r="H15" s="38"/>
      <c r="I15" s="39"/>
      <c r="J15" s="38"/>
      <c r="K15" s="38">
        <f>F15</f>
        <v>10000</v>
      </c>
      <c r="L15" s="20"/>
      <c r="M15" s="3"/>
      <c r="N15" s="3"/>
      <c r="O15" s="3"/>
      <c r="P15" s="3"/>
      <c r="Q15" s="3"/>
      <c r="R15" s="3"/>
    </row>
    <row r="16" ht="13.55" customHeight="1">
      <c r="A16" s="40"/>
      <c r="B16" t="s" s="19">
        <v>57</v>
      </c>
      <c r="C16" s="41"/>
      <c r="D16" s="42">
        <f>SUM(D11:D14)</f>
        <v>184</v>
      </c>
      <c r="E16" s="41"/>
      <c r="F16" s="39">
        <f>SUM(F11:F14)</f>
        <v>152000</v>
      </c>
      <c r="G16" s="39"/>
      <c r="H16" s="39"/>
      <c r="I16" s="39">
        <f>SUM(I11:I15)</f>
        <v>90000</v>
      </c>
      <c r="J16" s="39">
        <f>SUM(J11:J15)</f>
        <v>56000</v>
      </c>
      <c r="K16" s="39">
        <f>SUM(K11:K15)</f>
        <v>16000</v>
      </c>
      <c r="L16" s="43"/>
      <c r="M16" s="3"/>
      <c r="N16" s="3"/>
      <c r="O16" s="3"/>
      <c r="P16" s="3"/>
      <c r="Q16" s="3"/>
      <c r="R16" s="3"/>
    </row>
    <row r="17" ht="22.1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3"/>
      <c r="M17" s="3"/>
      <c r="N17" s="3"/>
      <c r="O17" s="3"/>
      <c r="P17" s="3"/>
      <c r="Q17" s="3"/>
      <c r="R17" s="3"/>
    </row>
    <row r="18" ht="30" customHeight="1">
      <c r="A18" t="s" s="32">
        <v>42</v>
      </c>
      <c r="B18" t="s" s="33">
        <v>58</v>
      </c>
      <c r="C18" s="34"/>
      <c r="D18" t="s" s="33">
        <v>44</v>
      </c>
      <c r="E18" t="s" s="35">
        <v>59</v>
      </c>
      <c r="F18" t="s" s="35">
        <v>60</v>
      </c>
      <c r="G18" s="46"/>
      <c r="H18" s="34"/>
      <c r="I18" t="s" s="33">
        <v>49</v>
      </c>
      <c r="J18" t="s" s="33">
        <v>50</v>
      </c>
      <c r="K18" t="s" s="33">
        <v>51</v>
      </c>
      <c r="L18" s="20"/>
      <c r="M18" s="3"/>
      <c r="N18" s="3"/>
      <c r="O18" s="3"/>
      <c r="P18" s="3"/>
      <c r="Q18" s="3"/>
      <c r="R18" s="3"/>
    </row>
    <row r="19" ht="13.55" customHeight="1">
      <c r="A19" t="s" s="47">
        <v>61</v>
      </c>
      <c r="B19" t="s" s="22">
        <v>62</v>
      </c>
      <c r="C19" s="48"/>
      <c r="D19" s="49">
        <f>3*5*8</f>
        <v>120</v>
      </c>
      <c r="E19" s="49">
        <v>330</v>
      </c>
      <c r="F19" s="50">
        <f>D19*E19</f>
        <v>39600</v>
      </c>
      <c r="G19" s="50"/>
      <c r="H19" s="38"/>
      <c r="I19" s="38">
        <f>F19/3</f>
        <v>13200</v>
      </c>
      <c r="J19" s="38">
        <f>F19/3</f>
        <v>13200</v>
      </c>
      <c r="K19" s="38">
        <f>F19/3</f>
        <v>13200</v>
      </c>
      <c r="L19" s="20"/>
      <c r="M19" s="3"/>
      <c r="N19" s="3"/>
      <c r="O19" s="3"/>
      <c r="P19" s="3"/>
      <c r="Q19" s="3"/>
      <c r="R19" s="3"/>
    </row>
    <row r="20" ht="13.55" customHeight="1">
      <c r="A20" t="s" s="47">
        <v>63</v>
      </c>
      <c r="B20" t="s" s="22">
        <v>64</v>
      </c>
      <c r="C20" s="48"/>
      <c r="D20" s="49">
        <f t="shared" si="0"/>
        <v>80</v>
      </c>
      <c r="E20" s="49">
        <v>330</v>
      </c>
      <c r="F20" s="50">
        <f>D20*E20</f>
        <v>26400</v>
      </c>
      <c r="G20" s="50"/>
      <c r="H20" s="38"/>
      <c r="I20" s="38">
        <f>F20/2</f>
        <v>13200</v>
      </c>
      <c r="J20" s="38">
        <f>F20/2</f>
        <v>13200</v>
      </c>
      <c r="K20" s="38"/>
      <c r="L20" s="20"/>
      <c r="M20" s="3"/>
      <c r="N20" s="3"/>
      <c r="O20" s="3"/>
      <c r="P20" s="3"/>
      <c r="Q20" s="3"/>
      <c r="R20" s="3"/>
    </row>
    <row r="21" ht="13.55" customHeight="1">
      <c r="A21" s="31">
        <v>3</v>
      </c>
      <c r="B21" t="s" s="22">
        <v>65</v>
      </c>
      <c r="C21" s="48"/>
      <c r="D21" s="49">
        <f>3*8</f>
        <v>24</v>
      </c>
      <c r="E21" s="49">
        <v>330</v>
      </c>
      <c r="F21" s="50">
        <f>D21*E21</f>
        <v>7920</v>
      </c>
      <c r="G21" s="50"/>
      <c r="H21" s="38"/>
      <c r="I21" s="39"/>
      <c r="J21" s="38"/>
      <c r="K21" s="38">
        <f>F21</f>
        <v>7920</v>
      </c>
      <c r="L21" s="20"/>
      <c r="M21" s="3"/>
      <c r="N21" s="3"/>
      <c r="O21" s="3"/>
      <c r="P21" s="3"/>
      <c r="Q21" s="3"/>
      <c r="R21" s="3"/>
    </row>
    <row r="22" ht="13.55" customHeight="1">
      <c r="A22" s="40"/>
      <c r="B22" t="s" s="51">
        <v>57</v>
      </c>
      <c r="C22" s="52"/>
      <c r="D22" s="53">
        <f>SUM(D19:D21)</f>
        <v>224</v>
      </c>
      <c r="E22" s="52"/>
      <c r="F22" s="54">
        <f>SUM(F19:F21)</f>
        <v>73920</v>
      </c>
      <c r="G22" s="54"/>
      <c r="H22" s="39"/>
      <c r="I22" s="39">
        <f>SUM(I19:I21)</f>
        <v>26400</v>
      </c>
      <c r="J22" s="39">
        <f>SUM(J19:J21)</f>
        <v>26400</v>
      </c>
      <c r="K22" s="39">
        <f>SUM(K19:K21)</f>
        <v>21120</v>
      </c>
      <c r="L22" s="20"/>
      <c r="M22" s="3"/>
      <c r="N22" s="3"/>
      <c r="O22" s="3"/>
      <c r="P22" s="3"/>
      <c r="Q22" s="3"/>
      <c r="R22" s="3"/>
    </row>
    <row r="23" ht="22.15" customHeight="1">
      <c r="A23" s="44"/>
      <c r="B23" s="45"/>
      <c r="C23" s="45"/>
      <c r="D23" s="45"/>
      <c r="E23" s="45"/>
      <c r="F23" s="45"/>
      <c r="G23" s="45"/>
      <c r="H23" s="45"/>
      <c r="I23" s="55"/>
      <c r="J23" s="45"/>
      <c r="K23" s="45"/>
      <c r="L23" s="3"/>
      <c r="M23" s="3"/>
      <c r="N23" s="3"/>
      <c r="O23" s="3"/>
      <c r="P23" s="3"/>
      <c r="Q23" s="3"/>
      <c r="R23" s="3"/>
    </row>
    <row r="24" ht="45" customHeight="1">
      <c r="A24" t="s" s="32">
        <v>42</v>
      </c>
      <c r="B24" t="s" s="33">
        <v>66</v>
      </c>
      <c r="C24" s="34"/>
      <c r="D24" s="34"/>
      <c r="E24" s="34"/>
      <c r="F24" t="s" s="35">
        <v>46</v>
      </c>
      <c r="G24" t="s" s="33">
        <v>47</v>
      </c>
      <c r="H24" t="s" s="35">
        <v>48</v>
      </c>
      <c r="I24" t="s" s="33">
        <v>49</v>
      </c>
      <c r="J24" t="s" s="33">
        <v>50</v>
      </c>
      <c r="K24" t="s" s="33">
        <v>51</v>
      </c>
      <c r="L24" s="20"/>
      <c r="M24" s="3"/>
      <c r="N24" s="3"/>
      <c r="O24" s="3"/>
      <c r="P24" s="3"/>
      <c r="Q24" s="3"/>
      <c r="R24" s="3"/>
    </row>
    <row r="25" ht="13.55" customHeight="1">
      <c r="A25" s="31">
        <v>1</v>
      </c>
      <c r="B25" t="s" s="22">
        <v>67</v>
      </c>
      <c r="C25" s="36"/>
      <c r="D25" s="36"/>
      <c r="E25" s="36"/>
      <c r="F25" s="38">
        <v>6000</v>
      </c>
      <c r="G25" s="38"/>
      <c r="H25" s="50"/>
      <c r="I25" s="38">
        <f>F25</f>
        <v>6000</v>
      </c>
      <c r="J25" s="38"/>
      <c r="K25" s="38"/>
      <c r="L25" s="20"/>
      <c r="M25" s="3"/>
      <c r="N25" s="3"/>
      <c r="O25" s="3"/>
      <c r="P25" s="3"/>
      <c r="Q25" s="3"/>
      <c r="R25" s="3"/>
    </row>
    <row r="26" ht="13.55" customHeight="1">
      <c r="A26" s="31">
        <v>2</v>
      </c>
      <c r="B26" t="s" s="22">
        <v>68</v>
      </c>
      <c r="C26" s="36"/>
      <c r="D26" s="36"/>
      <c r="E26" s="36"/>
      <c r="F26" s="38">
        <v>274000</v>
      </c>
      <c r="G26" s="38"/>
      <c r="H26" s="50"/>
      <c r="I26" s="38"/>
      <c r="J26" s="38">
        <f>F26</f>
        <v>274000</v>
      </c>
      <c r="K26" s="38"/>
      <c r="L26" s="20"/>
      <c r="M26" s="3"/>
      <c r="N26" s="3"/>
      <c r="O26" s="3"/>
      <c r="P26" s="3"/>
      <c r="Q26" s="3"/>
      <c r="R26" s="3"/>
    </row>
    <row r="27" ht="13.55" customHeight="1">
      <c r="A27" s="31">
        <v>3</v>
      </c>
      <c r="B27" t="s" s="22">
        <v>69</v>
      </c>
      <c r="C27" s="36"/>
      <c r="D27" s="36"/>
      <c r="E27" s="36"/>
      <c r="F27" s="38">
        <v>5000</v>
      </c>
      <c r="G27" s="38"/>
      <c r="H27" s="50"/>
      <c r="I27" s="38"/>
      <c r="J27" s="38"/>
      <c r="K27" s="38">
        <f>F27</f>
        <v>5000</v>
      </c>
      <c r="L27" s="20"/>
      <c r="M27" s="3"/>
      <c r="N27" s="3"/>
      <c r="O27" s="3"/>
      <c r="P27" s="3"/>
      <c r="Q27" s="3"/>
      <c r="R27" s="3"/>
    </row>
    <row r="28" ht="13.55" customHeight="1">
      <c r="A28" s="40"/>
      <c r="B28" t="s" s="19">
        <v>57</v>
      </c>
      <c r="C28" s="41"/>
      <c r="D28" s="36"/>
      <c r="E28" s="41"/>
      <c r="F28" s="39">
        <f>SUM(F25:F27)</f>
        <v>285000</v>
      </c>
      <c r="G28" s="39"/>
      <c r="H28" s="54"/>
      <c r="I28" s="39">
        <f>SUM(I25:I27)</f>
        <v>6000</v>
      </c>
      <c r="J28" s="39">
        <f>SUM(J25:J27)</f>
        <v>274000</v>
      </c>
      <c r="K28" s="39">
        <f>SUM(K25:K27)</f>
        <v>5000</v>
      </c>
      <c r="L28" s="20"/>
      <c r="M28" s="3"/>
      <c r="N28" s="3"/>
      <c r="O28" s="3"/>
      <c r="P28" s="3"/>
      <c r="Q28" s="3"/>
      <c r="R28" s="3"/>
    </row>
    <row r="29" ht="22.15" customHeight="1">
      <c r="A29" s="44"/>
      <c r="B29" s="55"/>
      <c r="C29" s="55"/>
      <c r="D29" s="45"/>
      <c r="E29" s="55"/>
      <c r="F29" s="55"/>
      <c r="G29" s="55"/>
      <c r="H29" s="55"/>
      <c r="I29" s="55"/>
      <c r="J29" s="45"/>
      <c r="K29" s="45"/>
      <c r="L29" s="3"/>
      <c r="M29" s="3"/>
      <c r="N29" s="3"/>
      <c r="O29" s="3"/>
      <c r="P29" s="3"/>
      <c r="Q29" s="3"/>
      <c r="R29" s="3"/>
    </row>
    <row r="30" ht="45" customHeight="1">
      <c r="A30" t="s" s="32">
        <v>42</v>
      </c>
      <c r="B30" t="s" s="33">
        <v>70</v>
      </c>
      <c r="C30" t="s" s="35">
        <v>71</v>
      </c>
      <c r="D30" s="46"/>
      <c r="E30" s="56"/>
      <c r="F30" t="s" s="35">
        <v>46</v>
      </c>
      <c r="G30" t="s" s="33">
        <v>47</v>
      </c>
      <c r="H30" t="s" s="35">
        <v>48</v>
      </c>
      <c r="I30" t="s" s="33">
        <v>49</v>
      </c>
      <c r="J30" t="s" s="33">
        <v>50</v>
      </c>
      <c r="K30" t="s" s="33">
        <v>51</v>
      </c>
      <c r="L30" s="20"/>
      <c r="M30" s="3"/>
      <c r="N30" s="3"/>
      <c r="O30" s="3"/>
      <c r="P30" s="3"/>
      <c r="Q30" s="3"/>
      <c r="R30" s="3"/>
    </row>
    <row r="31" ht="13.55" customHeight="1">
      <c r="A31" s="31">
        <v>1</v>
      </c>
      <c r="B31" t="s" s="22">
        <v>72</v>
      </c>
      <c r="C31" s="37">
        <v>400</v>
      </c>
      <c r="D31" s="36"/>
      <c r="E31" s="36"/>
      <c r="F31" s="38">
        <f>2*400</f>
        <v>800</v>
      </c>
      <c r="G31" s="38"/>
      <c r="H31" s="38"/>
      <c r="I31" s="38">
        <f>F31</f>
        <v>800</v>
      </c>
      <c r="J31" s="38"/>
      <c r="K31" s="38"/>
      <c r="L31" s="20"/>
      <c r="M31" s="3"/>
      <c r="N31" s="3"/>
      <c r="O31" s="3"/>
      <c r="P31" s="3"/>
      <c r="Q31" s="3"/>
      <c r="R31" s="3"/>
    </row>
    <row r="32" ht="13.55" customHeight="1">
      <c r="A32" s="40"/>
      <c r="B32" t="s" s="19">
        <v>73</v>
      </c>
      <c r="C32" s="41"/>
      <c r="D32" s="41"/>
      <c r="E32" s="41"/>
      <c r="F32" s="39">
        <f>SUM(F31:F31)</f>
        <v>800</v>
      </c>
      <c r="G32" s="39"/>
      <c r="H32" s="39"/>
      <c r="I32" s="39">
        <f>SUM(I31)</f>
        <v>800</v>
      </c>
      <c r="J32" s="38"/>
      <c r="K32" s="38"/>
      <c r="L32" s="20"/>
      <c r="M32" s="3"/>
      <c r="N32" s="3"/>
      <c r="O32" s="3"/>
      <c r="P32" s="3"/>
      <c r="Q32" s="3"/>
      <c r="R32" s="3"/>
    </row>
    <row r="33" ht="22.15" customHeight="1">
      <c r="A33" s="57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3"/>
      <c r="M33" s="3"/>
      <c r="N33" s="3"/>
      <c r="O33" s="3"/>
      <c r="P33" s="3"/>
      <c r="Q33" s="3"/>
      <c r="R33" s="3"/>
    </row>
    <row r="34" ht="13.55" customHeight="1">
      <c r="A34" s="17"/>
      <c r="B34" t="s" s="19">
        <v>74</v>
      </c>
      <c r="C34" s="41"/>
      <c r="D34" s="36"/>
      <c r="E34" s="41"/>
      <c r="F34" s="39">
        <f>F16+F22+F28+F32</f>
        <v>511720</v>
      </c>
      <c r="G34" s="39"/>
      <c r="H34" s="39"/>
      <c r="I34" s="39">
        <f>I16+I22+I28+I32</f>
        <v>123200</v>
      </c>
      <c r="J34" s="39">
        <f>J16+J22+J28</f>
        <v>356400</v>
      </c>
      <c r="K34" s="39">
        <f>K16+K22+K28</f>
        <v>42120</v>
      </c>
      <c r="L34" s="20"/>
      <c r="M34" s="3"/>
      <c r="N34" s="3"/>
      <c r="O34" s="3"/>
      <c r="P34" s="3"/>
      <c r="Q34" s="3"/>
      <c r="R34" s="3"/>
    </row>
    <row r="35" ht="22.15" customHeight="1">
      <c r="A35" s="3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3"/>
      <c r="M35" s="3"/>
      <c r="N35" s="3"/>
      <c r="O35" s="3"/>
      <c r="P35" s="3"/>
      <c r="Q35" s="3"/>
      <c r="R35" s="3"/>
    </row>
    <row r="36" ht="18.75" customHeight="1">
      <c r="A36" t="s" s="30">
        <v>75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ht="13.5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3"/>
      <c r="M37" s="3"/>
      <c r="N37" s="3"/>
      <c r="O37" s="3"/>
      <c r="P37" s="3"/>
      <c r="Q37" s="3"/>
      <c r="R37" s="3"/>
    </row>
    <row r="38" ht="30" customHeight="1">
      <c r="A38" t="s" s="33">
        <v>42</v>
      </c>
      <c r="B38" t="s" s="33">
        <v>76</v>
      </c>
      <c r="C38" t="s" s="35">
        <v>77</v>
      </c>
      <c r="D38" t="s" s="33">
        <v>44</v>
      </c>
      <c r="E38" t="s" s="35">
        <v>78</v>
      </c>
      <c r="F38" t="s" s="35">
        <v>79</v>
      </c>
      <c r="G38" s="34"/>
      <c r="H38" s="34"/>
      <c r="I38" t="s" s="33">
        <v>49</v>
      </c>
      <c r="J38" t="s" s="33">
        <v>50</v>
      </c>
      <c r="K38" t="s" s="33">
        <v>51</v>
      </c>
      <c r="L38" s="20"/>
      <c r="M38" s="3"/>
      <c r="N38" s="3"/>
      <c r="O38" s="3"/>
      <c r="P38" s="3"/>
      <c r="Q38" s="3"/>
      <c r="R38" s="3"/>
    </row>
    <row r="39" ht="13.55" customHeight="1">
      <c r="A39" s="37">
        <v>1</v>
      </c>
      <c r="B39" t="s" s="22">
        <v>80</v>
      </c>
      <c r="C39" s="37">
        <v>4</v>
      </c>
      <c r="D39" s="37">
        <v>24</v>
      </c>
      <c r="E39" s="37">
        <v>200</v>
      </c>
      <c r="F39" s="38">
        <f>D39*E39</f>
        <v>4800</v>
      </c>
      <c r="G39" s="36"/>
      <c r="H39" s="36"/>
      <c r="I39" s="38">
        <f>F39</f>
        <v>4800</v>
      </c>
      <c r="J39" s="36"/>
      <c r="K39" s="36"/>
      <c r="L39" s="20"/>
      <c r="M39" s="11"/>
      <c r="N39" s="11"/>
      <c r="O39" s="11"/>
      <c r="P39" s="11"/>
      <c r="Q39" s="3"/>
      <c r="R39" s="3"/>
    </row>
    <row r="40" ht="13.55" customHeight="1">
      <c r="A40" s="37">
        <v>3</v>
      </c>
      <c r="B40" t="s" s="22">
        <v>81</v>
      </c>
      <c r="C40" s="37">
        <v>2</v>
      </c>
      <c r="D40" s="37">
        <v>16</v>
      </c>
      <c r="E40" s="37">
        <v>200</v>
      </c>
      <c r="F40" s="38">
        <f>D40*E40</f>
        <v>3200</v>
      </c>
      <c r="G40" s="36"/>
      <c r="H40" s="36"/>
      <c r="I40" s="36"/>
      <c r="J40" s="36"/>
      <c r="K40" s="38">
        <f>F40</f>
        <v>3200</v>
      </c>
      <c r="L40" s="20"/>
      <c r="M40" s="11"/>
      <c r="N40" s="11"/>
      <c r="O40" s="11"/>
      <c r="P40" s="11"/>
      <c r="Q40" s="3"/>
      <c r="R40" s="3"/>
    </row>
    <row r="41" ht="13.55" customHeight="1">
      <c r="A41" s="58"/>
      <c r="B41" t="s" s="22">
        <v>73</v>
      </c>
      <c r="C41" s="36"/>
      <c r="D41" s="36"/>
      <c r="E41" s="36"/>
      <c r="F41" s="38">
        <f>SUM(F39:F40)</f>
        <v>8000</v>
      </c>
      <c r="G41" s="36"/>
      <c r="H41" s="36"/>
      <c r="I41" s="38">
        <f>SUM(I39:I40)</f>
        <v>4800</v>
      </c>
      <c r="J41" s="37">
        <f>SUM(J39:J40)</f>
        <v>0</v>
      </c>
      <c r="K41" s="38">
        <f>SUM(K39:K40)</f>
        <v>3200</v>
      </c>
      <c r="L41" s="20"/>
      <c r="M41" s="3"/>
      <c r="N41" s="3"/>
      <c r="O41" s="3"/>
      <c r="P41" s="3"/>
      <c r="Q41" s="3"/>
      <c r="R41" s="3"/>
    </row>
    <row r="42" ht="13.55" customHeight="1">
      <c r="A42" s="3"/>
      <c r="B42" s="45"/>
      <c r="C42" s="45"/>
      <c r="D42" s="45"/>
      <c r="E42" s="45"/>
      <c r="F42" s="59"/>
      <c r="G42" s="45"/>
      <c r="H42" s="45"/>
      <c r="I42" s="59"/>
      <c r="J42" s="59"/>
      <c r="K42" s="59"/>
      <c r="L42" s="3"/>
      <c r="M42" s="3"/>
      <c r="N42" s="3"/>
      <c r="O42" s="3"/>
      <c r="P42" s="3"/>
      <c r="Q42" s="3"/>
      <c r="R42" s="3"/>
    </row>
    <row r="43" ht="13.55" customHeight="1">
      <c r="A43" s="17"/>
      <c r="B43" t="s" s="22">
        <v>82</v>
      </c>
      <c r="C43" s="36"/>
      <c r="D43" s="36"/>
      <c r="E43" s="36"/>
      <c r="F43" s="38">
        <f>SUM(F34+F41)</f>
        <v>519720</v>
      </c>
      <c r="G43" s="36"/>
      <c r="H43" s="36"/>
      <c r="I43" s="38">
        <f>SUM(I34+I41)</f>
        <v>128000</v>
      </c>
      <c r="J43" s="38">
        <f>J34+J41</f>
        <v>356400</v>
      </c>
      <c r="K43" s="38">
        <f>K34+K41</f>
        <v>45320</v>
      </c>
      <c r="L43" s="20"/>
      <c r="M43" s="3"/>
      <c r="N43" s="3"/>
      <c r="O43" s="3"/>
      <c r="P43" s="3"/>
      <c r="Q43" s="3"/>
      <c r="R43" s="3"/>
    </row>
    <row r="44" ht="13.55" customHeight="1">
      <c r="A44" s="3"/>
      <c r="B44" s="27"/>
      <c r="C44" s="27"/>
      <c r="D44" s="27"/>
      <c r="E44" s="27"/>
      <c r="F44" s="60"/>
      <c r="G44" s="27"/>
      <c r="H44" s="27"/>
      <c r="I44" s="60"/>
      <c r="J44" s="60"/>
      <c r="K44" s="60"/>
      <c r="L44" s="3"/>
      <c r="M44" s="3"/>
      <c r="N44" s="3"/>
      <c r="O44" s="3"/>
      <c r="P44" s="3"/>
      <c r="Q44" s="3"/>
      <c r="R44" s="3"/>
    </row>
    <row r="45" ht="18.75" customHeight="1">
      <c r="A45" t="s" s="30">
        <v>83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ht="13.55" customHeight="1">
      <c r="A46" s="15"/>
      <c r="B46" t="s" s="61">
        <v>84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ht="13.55" customHeight="1">
      <c r="A47" t="s" s="22">
        <v>85</v>
      </c>
      <c r="B47" s="38">
        <f>F43/2</f>
        <v>259860</v>
      </c>
      <c r="C47" s="2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ht="13.55" customHeight="1">
      <c r="A48" t="s" s="22">
        <v>86</v>
      </c>
      <c r="B48" s="38">
        <f>F43/2</f>
        <v>259860</v>
      </c>
      <c r="C48" s="2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ht="13.55" customHeight="1">
      <c r="A49" t="s" s="62">
        <v>87</v>
      </c>
      <c r="B49" s="38">
        <f>F22/2</f>
        <v>36960</v>
      </c>
      <c r="C49" t="s" s="63">
        <v>88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ht="13.55" customHeight="1">
      <c r="A50" t="s" s="62">
        <v>87</v>
      </c>
      <c r="B50" s="38">
        <f>40*200</f>
        <v>8000</v>
      </c>
      <c r="C50" t="s" s="63">
        <v>89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ht="13.55" customHeight="1">
      <c r="A51" t="s" s="62">
        <v>87</v>
      </c>
      <c r="B51" s="38">
        <f>B48-B49-B50</f>
        <v>214900</v>
      </c>
      <c r="C51" t="s" s="63">
        <v>90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ht="13.55" customHeight="1">
      <c r="A52" s="45"/>
      <c r="B52" s="5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ht="13.55" customHeight="1">
      <c r="A53" t="s" s="19">
        <v>91</v>
      </c>
      <c r="B53" s="39">
        <f>SUM(B47:B48)</f>
        <v>519720</v>
      </c>
      <c r="C53" s="2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ht="13.55" customHeight="1">
      <c r="A54" s="27"/>
      <c r="B54" s="6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P69"/>
  <sheetViews>
    <sheetView workbookViewId="0" showGridLines="0" defaultGridColor="1"/>
  </sheetViews>
  <sheetFormatPr defaultColWidth="8.66667" defaultRowHeight="15" customHeight="1" outlineLevelRow="0" outlineLevelCol="0"/>
  <cols>
    <col min="1" max="1" width="1.67188" style="64" customWidth="1"/>
    <col min="2" max="2" width="10.5" style="64" customWidth="1"/>
    <col min="3" max="3" width="48" style="64" customWidth="1"/>
    <col min="4" max="4" width="6.85156" style="64" customWidth="1"/>
    <col min="5" max="5" width="13.4531" style="64" customWidth="1"/>
    <col min="6" max="6" width="14.0859" style="64" customWidth="1"/>
    <col min="7" max="7" width="9" style="64" customWidth="1"/>
    <col min="8" max="8" width="8.67188" style="64" customWidth="1"/>
    <col min="9" max="11" width="11.3516" style="64" customWidth="1"/>
    <col min="12" max="12" width="10.6562" style="64" customWidth="1"/>
    <col min="13" max="13" width="11.1719" style="64" customWidth="1"/>
    <col min="14" max="14" width="9.78125" style="64" customWidth="1"/>
    <col min="15" max="15" width="9.15625" style="64" customWidth="1"/>
    <col min="16" max="16" width="9.35156" style="64" customWidth="1"/>
    <col min="17" max="16384" width="8.67188" style="64" customWidth="1"/>
  </cols>
  <sheetData>
    <row r="1" ht="23.25" customHeight="1">
      <c r="A1" s="65"/>
      <c r="B1" t="s" s="66">
        <v>92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ht="13.55" customHeight="1">
      <c r="A2" s="68"/>
      <c r="B2" t="s" s="4">
        <v>93</v>
      </c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</row>
    <row r="3" ht="13.55" customHeight="1">
      <c r="A3" s="68"/>
      <c r="B3" s="3"/>
      <c r="C3" s="15"/>
      <c r="D3" s="15"/>
      <c r="E3" s="15"/>
      <c r="F3" s="15"/>
      <c r="G3" s="15"/>
      <c r="H3" s="15"/>
      <c r="I3" s="15"/>
      <c r="J3" s="3"/>
      <c r="K3" s="3"/>
      <c r="L3" s="3"/>
      <c r="M3" s="3"/>
      <c r="N3" s="3"/>
      <c r="O3" s="3"/>
      <c r="P3" s="3"/>
    </row>
    <row r="4" ht="18.75" customHeight="1">
      <c r="A4" s="68"/>
      <c r="B4" t="s" s="21">
        <v>30</v>
      </c>
      <c r="C4" t="s" s="69">
        <v>94</v>
      </c>
      <c r="D4" s="70"/>
      <c r="E4" s="70"/>
      <c r="F4" s="70"/>
      <c r="G4" s="70"/>
      <c r="H4" s="70"/>
      <c r="I4" s="71"/>
      <c r="J4" s="20"/>
      <c r="K4" s="3"/>
      <c r="L4" s="3"/>
      <c r="M4" s="3"/>
      <c r="N4" s="3"/>
      <c r="O4" s="3"/>
      <c r="P4" s="3"/>
    </row>
    <row r="5" ht="18.75" customHeight="1">
      <c r="A5" s="68"/>
      <c r="B5" t="s" s="21">
        <v>33</v>
      </c>
      <c r="C5" t="s" s="69">
        <v>95</v>
      </c>
      <c r="D5" s="70"/>
      <c r="E5" s="70"/>
      <c r="F5" s="70"/>
      <c r="G5" s="70"/>
      <c r="H5" s="70"/>
      <c r="I5" s="71"/>
      <c r="J5" s="72"/>
      <c r="K5" s="3"/>
      <c r="L5" s="3"/>
      <c r="M5" s="3"/>
      <c r="N5" s="3"/>
      <c r="O5" s="3"/>
      <c r="P5" s="3"/>
    </row>
    <row r="6" ht="13.55" customHeight="1">
      <c r="A6" s="68"/>
      <c r="B6" s="3"/>
      <c r="C6" s="27"/>
      <c r="D6" s="27"/>
      <c r="E6" s="27"/>
      <c r="F6" s="27"/>
      <c r="G6" s="27"/>
      <c r="H6" s="27"/>
      <c r="I6" s="27"/>
      <c r="J6" s="3"/>
      <c r="K6" s="3"/>
      <c r="L6" s="3"/>
      <c r="M6" s="3"/>
      <c r="N6" s="3"/>
      <c r="O6" s="3"/>
      <c r="P6" s="3"/>
    </row>
    <row r="7" ht="18.75" customHeight="1">
      <c r="A7" s="68"/>
      <c r="B7" t="s" s="30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13.55" customHeight="1">
      <c r="A8" s="6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ht="15.75" customHeight="1">
      <c r="A9" s="68"/>
      <c r="B9" t="s" s="73">
        <v>96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ht="30" customHeight="1">
      <c r="A10" s="75"/>
      <c r="B10" t="s" s="76">
        <v>42</v>
      </c>
      <c r="C10" t="s" s="77">
        <v>43</v>
      </c>
      <c r="D10" t="s" s="77">
        <v>97</v>
      </c>
      <c r="E10" t="s" s="78">
        <v>98</v>
      </c>
      <c r="F10" s="78"/>
      <c r="G10" s="79"/>
      <c r="H10" s="79"/>
      <c r="I10" t="s" s="77">
        <v>44</v>
      </c>
      <c r="J10" t="s" s="78">
        <v>99</v>
      </c>
      <c r="K10" t="s" s="78">
        <v>46</v>
      </c>
      <c r="L10" t="s" s="77">
        <v>47</v>
      </c>
      <c r="M10" t="s" s="78">
        <v>48</v>
      </c>
      <c r="N10" t="s" s="77">
        <v>49</v>
      </c>
      <c r="O10" t="s" s="77">
        <v>50</v>
      </c>
      <c r="P10" t="s" s="77">
        <v>51</v>
      </c>
    </row>
    <row r="11" ht="13.55" customHeight="1">
      <c r="A11" s="75"/>
      <c r="B11" t="s" s="80">
        <v>100</v>
      </c>
      <c r="C11" t="s" s="22">
        <v>101</v>
      </c>
      <c r="D11" s="36"/>
      <c r="E11" s="38"/>
      <c r="F11" s="38"/>
      <c r="G11" s="38"/>
      <c r="H11" s="38"/>
      <c r="I11" s="37">
        <v>60</v>
      </c>
      <c r="J11" s="38">
        <v>750</v>
      </c>
      <c r="K11" s="38">
        <f>I11*J11</f>
        <v>45000</v>
      </c>
      <c r="L11" s="38">
        <f>K11*0.25</f>
        <v>11250</v>
      </c>
      <c r="M11" s="38">
        <f>K11*1.25</f>
        <v>56250</v>
      </c>
      <c r="N11" s="38">
        <f>20*J11</f>
        <v>15000</v>
      </c>
      <c r="O11" s="38">
        <f>20*J11</f>
        <v>15000</v>
      </c>
      <c r="P11" s="38">
        <f>20*J11</f>
        <v>15000</v>
      </c>
    </row>
    <row r="12" ht="13.55" customHeight="1">
      <c r="A12" s="75"/>
      <c r="B12" t="s" s="80">
        <v>100</v>
      </c>
      <c r="C12" t="s" s="22">
        <v>102</v>
      </c>
      <c r="D12" s="36"/>
      <c r="E12" s="38"/>
      <c r="F12" s="38"/>
      <c r="G12" s="38"/>
      <c r="H12" s="38"/>
      <c r="I12" s="37">
        <v>60</v>
      </c>
      <c r="J12" s="38">
        <v>600</v>
      </c>
      <c r="K12" s="38">
        <f>I12*J12</f>
        <v>36000</v>
      </c>
      <c r="L12" s="38">
        <f>K12*0.25</f>
        <v>9000</v>
      </c>
      <c r="M12" s="38">
        <f>K12*1.25</f>
        <v>45000</v>
      </c>
      <c r="N12" s="38">
        <v>10000</v>
      </c>
      <c r="O12" s="38">
        <v>20000</v>
      </c>
      <c r="P12" s="38">
        <v>6000</v>
      </c>
    </row>
    <row r="13" ht="13.55" customHeight="1">
      <c r="A13" s="75"/>
      <c r="B13" t="s" s="80">
        <v>100</v>
      </c>
      <c r="C13" t="s" s="22">
        <v>103</v>
      </c>
      <c r="D13" s="36"/>
      <c r="E13" s="38"/>
      <c r="F13" s="38"/>
      <c r="G13" s="38"/>
      <c r="H13" s="38"/>
      <c r="I13" s="37">
        <v>60</v>
      </c>
      <c r="J13" s="38">
        <v>850</v>
      </c>
      <c r="K13" s="38">
        <f>I13*J13</f>
        <v>51000</v>
      </c>
      <c r="L13" s="38">
        <f>K13*0.25</f>
        <v>12750</v>
      </c>
      <c r="M13" s="38">
        <f>K13*1.25</f>
        <v>63750</v>
      </c>
      <c r="N13" s="38">
        <v>25000</v>
      </c>
      <c r="O13" s="38">
        <v>20000</v>
      </c>
      <c r="P13" s="38">
        <v>6000</v>
      </c>
    </row>
    <row r="14" ht="13.55" customHeight="1">
      <c r="A14" s="75"/>
      <c r="B14" t="s" s="80">
        <v>100</v>
      </c>
      <c r="C14" t="s" s="22">
        <v>104</v>
      </c>
      <c r="D14" s="36"/>
      <c r="E14" s="38">
        <v>15000</v>
      </c>
      <c r="F14" s="38"/>
      <c r="G14" s="38"/>
      <c r="H14" s="38"/>
      <c r="I14" s="37">
        <f>220+120</f>
        <v>340</v>
      </c>
      <c r="J14" s="38">
        <v>2000</v>
      </c>
      <c r="K14" s="38">
        <f>E14+(I14*J14)</f>
        <v>695000</v>
      </c>
      <c r="L14" s="38">
        <f>K14*0.25</f>
        <v>173750</v>
      </c>
      <c r="M14" s="38">
        <f>K14*1.25</f>
        <v>868750</v>
      </c>
      <c r="N14" s="38">
        <f>(220*J14)+(E14/2)</f>
        <v>447500</v>
      </c>
      <c r="O14" s="38">
        <f>(120*J14)+(E14/2)</f>
        <v>247500</v>
      </c>
      <c r="P14" s="38">
        <v>0</v>
      </c>
    </row>
    <row r="15" ht="13.55" customHeight="1">
      <c r="A15" s="75"/>
      <c r="B15" t="s" s="80">
        <v>100</v>
      </c>
      <c r="C15" t="s" s="22">
        <v>105</v>
      </c>
      <c r="D15" s="36"/>
      <c r="E15" s="38">
        <v>15000</v>
      </c>
      <c r="F15" s="38"/>
      <c r="G15" s="38"/>
      <c r="H15" s="38"/>
      <c r="I15" s="37">
        <v>400</v>
      </c>
      <c r="J15" s="38">
        <v>1000</v>
      </c>
      <c r="K15" s="38">
        <f>E15+(I15*J15)</f>
        <v>415000</v>
      </c>
      <c r="L15" s="38">
        <f>K15*0.25</f>
        <v>103750</v>
      </c>
      <c r="M15" s="38">
        <f>K15*1.25</f>
        <v>518750</v>
      </c>
      <c r="N15" s="38">
        <f>(360*J15)+(E15/2)</f>
        <v>367500</v>
      </c>
      <c r="O15" s="36"/>
      <c r="P15" s="38">
        <f>(40*J15)+(E15/2)</f>
        <v>47500</v>
      </c>
    </row>
    <row r="16" ht="14.7" customHeight="1">
      <c r="A16" s="75"/>
      <c r="B16" t="s" s="80">
        <v>100</v>
      </c>
      <c r="C16" t="s" s="22">
        <v>106</v>
      </c>
      <c r="D16" s="36"/>
      <c r="E16" s="38">
        <v>12000</v>
      </c>
      <c r="F16" s="38"/>
      <c r="G16" s="38"/>
      <c r="H16" s="38"/>
      <c r="I16" s="37">
        <v>200</v>
      </c>
      <c r="J16" s="38">
        <v>1500</v>
      </c>
      <c r="K16" s="38">
        <f>E16+(I16*J16)</f>
        <v>312000</v>
      </c>
      <c r="L16" s="38">
        <f>K16*0.25</f>
        <v>78000</v>
      </c>
      <c r="M16" s="38">
        <f>K16*1.25</f>
        <v>390000</v>
      </c>
      <c r="N16" s="38">
        <f>(200*J16)+(E16)</f>
        <v>312000</v>
      </c>
      <c r="O16" s="38"/>
      <c r="P16" s="38"/>
    </row>
    <row r="17" ht="13.55" customHeight="1">
      <c r="A17" s="75"/>
      <c r="B17" t="s" s="80">
        <v>100</v>
      </c>
      <c r="C17" t="s" s="22">
        <v>107</v>
      </c>
      <c r="D17" s="36"/>
      <c r="E17" s="38">
        <v>12000</v>
      </c>
      <c r="F17" s="38"/>
      <c r="G17" s="38"/>
      <c r="H17" s="38"/>
      <c r="I17" s="37">
        <v>330</v>
      </c>
      <c r="J17" s="38">
        <v>1300</v>
      </c>
      <c r="K17" s="38">
        <f>E17+(I17*J17)</f>
        <v>441000</v>
      </c>
      <c r="L17" s="38">
        <f>K17*0.25</f>
        <v>110250</v>
      </c>
      <c r="M17" s="38">
        <f>K17*1.25</f>
        <v>551250</v>
      </c>
      <c r="N17" s="38">
        <f>(150*J17)+(E17/3)</f>
        <v>199000</v>
      </c>
      <c r="O17" s="38">
        <f>(130*J17)+(E17/3)</f>
        <v>173000</v>
      </c>
      <c r="P17" s="38">
        <f>(50*J17)+(E17/3)</f>
        <v>69000</v>
      </c>
    </row>
    <row r="18" ht="13.55" customHeight="1">
      <c r="A18" s="75"/>
      <c r="B18" t="s" s="80">
        <v>108</v>
      </c>
      <c r="C18" t="s" s="22">
        <v>109</v>
      </c>
      <c r="D18" s="36"/>
      <c r="E18" s="38">
        <v>5000</v>
      </c>
      <c r="F18" s="38"/>
      <c r="G18" s="38"/>
      <c r="H18" s="38"/>
      <c r="I18" s="37">
        <v>35</v>
      </c>
      <c r="J18" s="38">
        <v>2250</v>
      </c>
      <c r="K18" s="38">
        <f>I18*J18</f>
        <v>78750</v>
      </c>
      <c r="L18" s="38">
        <f>K18*0.25</f>
        <v>19687.5</v>
      </c>
      <c r="M18" s="38">
        <f>K18*1.25</f>
        <v>98437.5</v>
      </c>
      <c r="N18" s="38">
        <f>K18</f>
        <v>78750</v>
      </c>
      <c r="O18" s="38"/>
      <c r="P18" s="38"/>
    </row>
    <row r="19" ht="15.75" customHeight="1">
      <c r="A19" s="75"/>
      <c r="B19" t="s" s="81">
        <v>100</v>
      </c>
      <c r="C19" t="s" s="82">
        <v>110</v>
      </c>
      <c r="D19" s="83"/>
      <c r="E19" s="84"/>
      <c r="F19" s="84"/>
      <c r="G19" s="84"/>
      <c r="H19" s="84"/>
      <c r="I19" s="85">
        <v>1000</v>
      </c>
      <c r="J19" s="84">
        <v>125</v>
      </c>
      <c r="K19" s="84">
        <f>I19*J19</f>
        <v>125000</v>
      </c>
      <c r="L19" s="84">
        <f>K19*0.25</f>
        <v>31250</v>
      </c>
      <c r="M19" s="84">
        <f>K19*1.25</f>
        <v>156250</v>
      </c>
      <c r="N19" s="84">
        <f>J19*333.33</f>
        <v>41666.25</v>
      </c>
      <c r="O19" s="84">
        <f>J19*333.33</f>
        <v>41666.25</v>
      </c>
      <c r="P19" s="84">
        <f>J19*333.33</f>
        <v>41666.25</v>
      </c>
    </row>
    <row r="20" ht="15.75" customHeight="1">
      <c r="A20" s="75"/>
      <c r="B20" s="86"/>
      <c r="C20" t="s" s="87">
        <v>57</v>
      </c>
      <c r="D20" s="88"/>
      <c r="E20" s="89"/>
      <c r="F20" s="89"/>
      <c r="G20" s="89"/>
      <c r="H20" s="89"/>
      <c r="I20" s="90">
        <f>SUM(I12:I19)</f>
        <v>2425</v>
      </c>
      <c r="J20" s="89"/>
      <c r="K20" s="89">
        <f>SUM(K12:K19)</f>
        <v>2153750</v>
      </c>
      <c r="L20" s="89"/>
      <c r="M20" s="89">
        <f>SUM(M12:M19)</f>
        <v>2692187.5</v>
      </c>
      <c r="N20" s="89">
        <f>SUM(N12:N19)</f>
        <v>1481416.25</v>
      </c>
      <c r="O20" s="89">
        <f>SUM(O12:O19)</f>
        <v>502166.25</v>
      </c>
      <c r="P20" s="89">
        <f>SUM(P12:P19)</f>
        <v>170166.25</v>
      </c>
    </row>
    <row r="21" ht="14.05" customHeight="1">
      <c r="A21" s="68"/>
      <c r="B21" s="91"/>
      <c r="C21" s="67"/>
      <c r="D21" s="67"/>
      <c r="E21" s="92"/>
      <c r="F21" s="92"/>
      <c r="G21" s="92"/>
      <c r="H21" s="92"/>
      <c r="I21" s="67"/>
      <c r="J21" s="92"/>
      <c r="K21" s="92"/>
      <c r="L21" s="92"/>
      <c r="M21" s="92"/>
      <c r="N21" s="92"/>
      <c r="O21" s="92"/>
      <c r="P21" s="92"/>
    </row>
    <row r="22" ht="15.75" customHeight="1">
      <c r="A22" s="68"/>
      <c r="B22" t="s" s="93">
        <v>111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ht="30" customHeight="1">
      <c r="A23" s="75"/>
      <c r="B23" t="s" s="76">
        <v>42</v>
      </c>
      <c r="C23" t="s" s="94">
        <v>58</v>
      </c>
      <c r="D23" t="s" s="78">
        <v>77</v>
      </c>
      <c r="E23" s="79"/>
      <c r="F23" s="79"/>
      <c r="G23" s="79"/>
      <c r="H23" s="79"/>
      <c r="I23" t="s" s="77">
        <v>44</v>
      </c>
      <c r="J23" t="s" s="78">
        <v>112</v>
      </c>
      <c r="K23" t="s" s="78">
        <v>60</v>
      </c>
      <c r="L23" s="79"/>
      <c r="M23" s="95"/>
      <c r="N23" t="s" s="77">
        <v>49</v>
      </c>
      <c r="O23" t="s" s="77">
        <v>50</v>
      </c>
      <c r="P23" t="s" s="77">
        <v>51</v>
      </c>
    </row>
    <row r="24" ht="13.55" customHeight="1">
      <c r="A24" s="75"/>
      <c r="B24" t="s" s="80">
        <v>100</v>
      </c>
      <c r="C24" t="s" s="29">
        <v>113</v>
      </c>
      <c r="D24" s="37">
        <v>1</v>
      </c>
      <c r="E24" s="36"/>
      <c r="F24" s="36"/>
      <c r="G24" s="36"/>
      <c r="H24" s="36"/>
      <c r="I24" s="37">
        <v>24</v>
      </c>
      <c r="J24" s="38">
        <v>300</v>
      </c>
      <c r="K24" s="38">
        <f>I24*J24</f>
        <v>7200</v>
      </c>
      <c r="L24" s="39"/>
      <c r="M24" s="38"/>
      <c r="N24" s="38">
        <f>($I24*$J24)/3</f>
        <v>2400</v>
      </c>
      <c r="O24" s="38">
        <f>($I24*$J24)/3</f>
        <v>2400</v>
      </c>
      <c r="P24" s="38">
        <f>($I24*$J24)/3</f>
        <v>2400</v>
      </c>
    </row>
    <row r="25" ht="13.55" customHeight="1">
      <c r="A25" s="75"/>
      <c r="B25" t="s" s="80">
        <v>100</v>
      </c>
      <c r="C25" t="s" s="22">
        <v>114</v>
      </c>
      <c r="D25" s="49">
        <v>1</v>
      </c>
      <c r="E25" s="48"/>
      <c r="F25" s="48"/>
      <c r="G25" s="48"/>
      <c r="H25" s="48"/>
      <c r="I25" s="49">
        <v>64</v>
      </c>
      <c r="J25" s="38">
        <v>300</v>
      </c>
      <c r="K25" s="38">
        <f>I25*J25</f>
        <v>19200</v>
      </c>
      <c r="L25" s="50"/>
      <c r="M25" s="38"/>
      <c r="N25" s="38">
        <f>($I25*$J25)/3</f>
        <v>6400</v>
      </c>
      <c r="O25" s="38">
        <f>($I25*$J25)/3</f>
        <v>6400</v>
      </c>
      <c r="P25" s="38">
        <f>($I25*$J25)/3</f>
        <v>6400</v>
      </c>
    </row>
    <row r="26" ht="13.55" customHeight="1">
      <c r="A26" s="75"/>
      <c r="B26" t="s" s="80">
        <v>100</v>
      </c>
      <c r="C26" t="s" s="22">
        <v>115</v>
      </c>
      <c r="D26" s="49">
        <v>1</v>
      </c>
      <c r="E26" s="48"/>
      <c r="F26" s="48"/>
      <c r="G26" s="48"/>
      <c r="H26" s="48"/>
      <c r="I26" s="49">
        <v>40</v>
      </c>
      <c r="J26" s="38">
        <v>300</v>
      </c>
      <c r="K26" s="38">
        <f>I26*J26</f>
        <v>12000</v>
      </c>
      <c r="L26" s="50"/>
      <c r="M26" s="38"/>
      <c r="N26" s="38">
        <f>($I26*$J26)/3</f>
        <v>4000</v>
      </c>
      <c r="O26" s="38">
        <f>($I26*$J26)/3</f>
        <v>4000</v>
      </c>
      <c r="P26" s="38">
        <f>($I26*$J26)/3</f>
        <v>4000</v>
      </c>
    </row>
    <row r="27" ht="15.75" customHeight="1">
      <c r="A27" s="75"/>
      <c r="B27" t="s" s="80">
        <v>100</v>
      </c>
      <c r="C27" t="s" s="22">
        <v>116</v>
      </c>
      <c r="D27" s="37">
        <v>1</v>
      </c>
      <c r="E27" s="36"/>
      <c r="F27" s="36"/>
      <c r="G27" s="36"/>
      <c r="H27" s="36"/>
      <c r="I27" s="37">
        <v>40</v>
      </c>
      <c r="J27" s="38">
        <v>300</v>
      </c>
      <c r="K27" s="38">
        <f>I27*J27</f>
        <v>12000</v>
      </c>
      <c r="L27" s="36"/>
      <c r="M27" s="36"/>
      <c r="N27" s="38">
        <f>($I27*$J27)/3</f>
        <v>4000</v>
      </c>
      <c r="O27" s="38">
        <f>($I27*$J27)/3</f>
        <v>4000</v>
      </c>
      <c r="P27" s="38">
        <f>($I27*$J27)/3</f>
        <v>4000</v>
      </c>
    </row>
    <row r="28" ht="15.75" customHeight="1">
      <c r="A28" s="75"/>
      <c r="B28" t="s" s="80">
        <v>100</v>
      </c>
      <c r="C28" t="s" s="22">
        <v>117</v>
      </c>
      <c r="D28" s="37">
        <v>1</v>
      </c>
      <c r="E28" s="36"/>
      <c r="F28" s="36"/>
      <c r="G28" s="36"/>
      <c r="H28" s="36"/>
      <c r="I28" s="37">
        <v>8</v>
      </c>
      <c r="J28" s="38">
        <v>300</v>
      </c>
      <c r="K28" s="38">
        <f>I28*J28</f>
        <v>2400</v>
      </c>
      <c r="L28" s="36"/>
      <c r="M28" s="36"/>
      <c r="N28" s="38">
        <f>($I28*$J28)/3</f>
        <v>800</v>
      </c>
      <c r="O28" s="38">
        <f>($I28*$J28)/3</f>
        <v>800</v>
      </c>
      <c r="P28" s="38">
        <f>($I28*$J28)/3</f>
        <v>800</v>
      </c>
    </row>
    <row r="29" ht="15.75" customHeight="1">
      <c r="A29" s="75"/>
      <c r="B29" t="s" s="80">
        <v>100</v>
      </c>
      <c r="C29" t="s" s="22">
        <v>118</v>
      </c>
      <c r="D29" s="37">
        <v>1</v>
      </c>
      <c r="E29" s="36"/>
      <c r="F29" s="36"/>
      <c r="G29" s="36"/>
      <c r="H29" s="36"/>
      <c r="I29" s="37">
        <v>150</v>
      </c>
      <c r="J29" s="38">
        <v>300</v>
      </c>
      <c r="K29" s="38">
        <f>I29*J29</f>
        <v>45000</v>
      </c>
      <c r="L29" s="36"/>
      <c r="M29" s="36"/>
      <c r="N29" s="38">
        <f>($I29*$J29)/3</f>
        <v>15000</v>
      </c>
      <c r="O29" s="38">
        <f>($I29*$J29)/3</f>
        <v>15000</v>
      </c>
      <c r="P29" s="38">
        <f>($I29*$J29)/3</f>
        <v>15000</v>
      </c>
    </row>
    <row r="30" ht="15.75" customHeight="1">
      <c r="A30" s="75"/>
      <c r="B30" t="s" s="80">
        <v>100</v>
      </c>
      <c r="C30" t="s" s="22">
        <v>119</v>
      </c>
      <c r="D30" s="37">
        <v>1</v>
      </c>
      <c r="E30" s="36"/>
      <c r="F30" s="36"/>
      <c r="G30" s="36"/>
      <c r="H30" s="36"/>
      <c r="I30" s="37">
        <v>200</v>
      </c>
      <c r="J30" s="38">
        <v>300</v>
      </c>
      <c r="K30" s="38">
        <f>I30*J30</f>
        <v>60000</v>
      </c>
      <c r="L30" s="36"/>
      <c r="M30" s="36"/>
      <c r="N30" s="38">
        <f>($I30*$J30)/3</f>
        <v>20000</v>
      </c>
      <c r="O30" s="38">
        <f>($I30*$J30)/3</f>
        <v>20000</v>
      </c>
      <c r="P30" s="38">
        <f>($I30*$J30)/3</f>
        <v>20000</v>
      </c>
    </row>
    <row r="31" ht="15.75" customHeight="1">
      <c r="A31" s="75"/>
      <c r="B31" t="s" s="81">
        <v>100</v>
      </c>
      <c r="C31" t="s" s="82">
        <v>120</v>
      </c>
      <c r="D31" s="85">
        <v>1</v>
      </c>
      <c r="E31" s="83"/>
      <c r="F31" s="83"/>
      <c r="G31" s="83"/>
      <c r="H31" s="83"/>
      <c r="I31" s="85">
        <v>20</v>
      </c>
      <c r="J31" s="84">
        <v>300</v>
      </c>
      <c r="K31" s="84">
        <f>I31*J31</f>
        <v>6000</v>
      </c>
      <c r="L31" s="83"/>
      <c r="M31" s="83"/>
      <c r="N31" s="84">
        <f>($I31*$J31)/3</f>
        <v>2000</v>
      </c>
      <c r="O31" s="84">
        <f>($I31*$J31)/3</f>
        <v>2000</v>
      </c>
      <c r="P31" s="84">
        <f>($I31*$J31)/3</f>
        <v>2000</v>
      </c>
    </row>
    <row r="32" ht="15.75" customHeight="1">
      <c r="A32" s="75"/>
      <c r="B32" s="86"/>
      <c r="C32" t="s" s="96">
        <v>57</v>
      </c>
      <c r="D32" s="97"/>
      <c r="E32" s="97"/>
      <c r="F32" s="97"/>
      <c r="G32" s="97"/>
      <c r="H32" s="97"/>
      <c r="I32" s="98">
        <f>SUM(I24:I31)</f>
        <v>546</v>
      </c>
      <c r="J32" s="99"/>
      <c r="K32" s="99">
        <f>SUM(K24:K31)</f>
        <v>163800</v>
      </c>
      <c r="L32" s="99"/>
      <c r="M32" s="99"/>
      <c r="N32" s="99">
        <f>SUM(N24:N31)</f>
        <v>54600</v>
      </c>
      <c r="O32" s="99">
        <f>SUM(O24:O31)</f>
        <v>54600</v>
      </c>
      <c r="P32" s="99">
        <f>SUM(P24:P31)</f>
        <v>54600</v>
      </c>
    </row>
    <row r="33" ht="14.05" customHeight="1">
      <c r="A33" s="68"/>
      <c r="B33" s="91"/>
      <c r="C33" s="100"/>
      <c r="D33" s="100"/>
      <c r="E33" s="100"/>
      <c r="F33" s="100"/>
      <c r="G33" s="100"/>
      <c r="H33" s="100"/>
      <c r="I33" s="100"/>
      <c r="J33" s="101"/>
      <c r="K33" s="101"/>
      <c r="L33" s="101"/>
      <c r="M33" s="101"/>
      <c r="N33" s="101"/>
      <c r="O33" s="101"/>
      <c r="P33" s="101"/>
    </row>
    <row r="34" ht="15.75" customHeight="1">
      <c r="A34" s="68"/>
      <c r="B34" t="s" s="93">
        <v>121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102"/>
      <c r="O34" s="74"/>
      <c r="P34" s="74"/>
    </row>
    <row r="35" ht="45" customHeight="1">
      <c r="A35" s="75"/>
      <c r="B35" t="s" s="76">
        <v>42</v>
      </c>
      <c r="C35" t="s" s="77">
        <v>66</v>
      </c>
      <c r="D35" t="s" s="77">
        <v>97</v>
      </c>
      <c r="E35" t="s" s="78">
        <v>122</v>
      </c>
      <c r="F35" t="s" s="78">
        <v>123</v>
      </c>
      <c r="G35" t="s" s="78">
        <v>124</v>
      </c>
      <c r="H35" t="s" s="78">
        <v>125</v>
      </c>
      <c r="I35" t="s" s="78">
        <v>126</v>
      </c>
      <c r="J35" t="s" s="78">
        <v>127</v>
      </c>
      <c r="K35" t="s" s="78">
        <v>46</v>
      </c>
      <c r="L35" t="s" s="77">
        <v>47</v>
      </c>
      <c r="M35" t="s" s="78">
        <v>48</v>
      </c>
      <c r="N35" t="s" s="77">
        <v>49</v>
      </c>
      <c r="O35" t="s" s="77">
        <v>50</v>
      </c>
      <c r="P35" t="s" s="77">
        <v>51</v>
      </c>
    </row>
    <row r="36" ht="15.75" customHeight="1">
      <c r="A36" s="75"/>
      <c r="B36" t="s" s="80">
        <v>100</v>
      </c>
      <c r="C36" t="s" s="22">
        <v>128</v>
      </c>
      <c r="D36" s="37">
        <v>2</v>
      </c>
      <c r="E36" s="37">
        <v>1300</v>
      </c>
      <c r="F36" s="103">
        <f>E36*1.25</f>
        <v>1625</v>
      </c>
      <c r="G36" s="37">
        <f>E36/10</f>
        <v>130</v>
      </c>
      <c r="H36" s="37">
        <f>F36/10</f>
        <v>162.5</v>
      </c>
      <c r="I36" s="36"/>
      <c r="J36" s="36"/>
      <c r="K36" s="38">
        <f>D36*E36</f>
        <v>2600</v>
      </c>
      <c r="L36" s="38"/>
      <c r="M36" s="39">
        <f>K36*1.25</f>
        <v>3250</v>
      </c>
      <c r="N36" s="38">
        <f>E36*0.7</f>
        <v>910</v>
      </c>
      <c r="O36" s="38">
        <f>E36</f>
        <v>1300</v>
      </c>
      <c r="P36" s="38">
        <f>E36*0.3</f>
        <v>390</v>
      </c>
    </row>
    <row r="37" ht="15.75" customHeight="1">
      <c r="A37" s="75"/>
      <c r="B37" t="s" s="80">
        <v>129</v>
      </c>
      <c r="C37" t="s" s="22">
        <v>130</v>
      </c>
      <c r="D37" s="37">
        <v>5</v>
      </c>
      <c r="E37" s="37">
        <v>5000</v>
      </c>
      <c r="F37" s="103">
        <f>E37*1.25</f>
        <v>6250</v>
      </c>
      <c r="G37" s="36"/>
      <c r="H37" s="36"/>
      <c r="I37" s="103">
        <f>E37/6</f>
        <v>833.333333333333</v>
      </c>
      <c r="J37" s="103">
        <f>F37/6</f>
        <v>1041.666666666670</v>
      </c>
      <c r="K37" s="38">
        <f>E37*D37</f>
        <v>25000</v>
      </c>
      <c r="L37" s="38"/>
      <c r="M37" s="39">
        <f>K37*1.25</f>
        <v>31250</v>
      </c>
      <c r="N37" s="38">
        <f>3*E37</f>
        <v>15000</v>
      </c>
      <c r="O37" s="38">
        <f>4*E37</f>
        <v>20000</v>
      </c>
      <c r="P37" s="38"/>
    </row>
    <row r="38" ht="15.75" customHeight="1">
      <c r="A38" s="75"/>
      <c r="B38" t="s" s="80">
        <v>129</v>
      </c>
      <c r="C38" t="s" s="22">
        <v>131</v>
      </c>
      <c r="D38" s="37">
        <v>200</v>
      </c>
      <c r="E38" s="37">
        <v>120</v>
      </c>
      <c r="F38" s="103">
        <f>E38*1.25</f>
        <v>150</v>
      </c>
      <c r="G38" s="37">
        <f>E38/1000</f>
        <v>0.12</v>
      </c>
      <c r="H38" s="36"/>
      <c r="I38" s="36"/>
      <c r="J38" s="36"/>
      <c r="K38" s="38">
        <f>D38*E38</f>
        <v>24000</v>
      </c>
      <c r="L38" s="38"/>
      <c r="M38" s="39">
        <f>K38*1.25</f>
        <v>30000</v>
      </c>
      <c r="N38" s="38">
        <f>K38-O38</f>
        <v>22000</v>
      </c>
      <c r="O38" s="38">
        <v>2000</v>
      </c>
      <c r="P38" s="38"/>
    </row>
    <row r="39" ht="15.75" customHeight="1">
      <c r="A39" s="75"/>
      <c r="B39" t="s" s="81">
        <v>100</v>
      </c>
      <c r="C39" t="s" s="82">
        <v>132</v>
      </c>
      <c r="D39" s="85">
        <v>200</v>
      </c>
      <c r="E39" s="85">
        <v>130</v>
      </c>
      <c r="F39" s="104">
        <f>E39*1.25</f>
        <v>162.5</v>
      </c>
      <c r="G39" s="85">
        <f>E39/1000</f>
        <v>0.13</v>
      </c>
      <c r="H39" s="83"/>
      <c r="I39" s="83"/>
      <c r="J39" s="83"/>
      <c r="K39" s="84">
        <f>D39*E39</f>
        <v>26000</v>
      </c>
      <c r="L39" s="84"/>
      <c r="M39" s="105">
        <f>K39*1.25</f>
        <v>32500</v>
      </c>
      <c r="N39" s="84">
        <f>K39-O39-P39</f>
        <v>18500</v>
      </c>
      <c r="O39" s="84">
        <v>4000</v>
      </c>
      <c r="P39" s="84">
        <v>3500</v>
      </c>
    </row>
    <row r="40" ht="15.75" customHeight="1">
      <c r="A40" s="75"/>
      <c r="B40" s="86"/>
      <c r="C40" t="s" s="87">
        <v>57</v>
      </c>
      <c r="D40" s="88"/>
      <c r="E40" s="88"/>
      <c r="F40" s="88"/>
      <c r="G40" s="88"/>
      <c r="H40" s="88"/>
      <c r="I40" s="88"/>
      <c r="J40" s="88"/>
      <c r="K40" s="89">
        <f>SUM(K36:K39)</f>
        <v>77600</v>
      </c>
      <c r="L40" s="89"/>
      <c r="M40" s="89">
        <f>SUM(M36:M37)</f>
        <v>34500</v>
      </c>
      <c r="N40" s="89">
        <f>SUM(N36:N39)</f>
        <v>56410</v>
      </c>
      <c r="O40" s="89">
        <f>SUM(O36:O39)</f>
        <v>27300</v>
      </c>
      <c r="P40" s="89">
        <f>SUM(P36:P39)</f>
        <v>3890</v>
      </c>
    </row>
    <row r="41" ht="14.05" customHeight="1">
      <c r="A41" s="68"/>
      <c r="B41" s="91"/>
      <c r="C41" s="67"/>
      <c r="D41" s="67"/>
      <c r="E41" s="67"/>
      <c r="F41" s="67"/>
      <c r="G41" s="67"/>
      <c r="H41" s="67"/>
      <c r="I41" s="67"/>
      <c r="J41" s="67"/>
      <c r="K41" s="92"/>
      <c r="L41" s="92"/>
      <c r="M41" s="92"/>
      <c r="N41" s="92"/>
      <c r="O41" s="92"/>
      <c r="P41" s="92"/>
    </row>
    <row r="42" ht="15.75" customHeight="1">
      <c r="A42" s="68"/>
      <c r="B42" t="s" s="93">
        <v>133</v>
      </c>
      <c r="C42" s="102"/>
      <c r="D42" s="102"/>
      <c r="E42" s="102"/>
      <c r="F42" s="102"/>
      <c r="G42" s="102"/>
      <c r="H42" s="102"/>
      <c r="I42" s="74"/>
      <c r="J42" s="102"/>
      <c r="K42" s="102"/>
      <c r="L42" s="102"/>
      <c r="M42" s="102"/>
      <c r="N42" s="102"/>
      <c r="O42" s="74"/>
      <c r="P42" s="74"/>
    </row>
    <row r="43" ht="30" customHeight="1">
      <c r="A43" s="75"/>
      <c r="B43" t="s" s="76">
        <v>42</v>
      </c>
      <c r="C43" t="s" s="77">
        <v>70</v>
      </c>
      <c r="D43" t="s" s="78">
        <v>134</v>
      </c>
      <c r="E43" s="79"/>
      <c r="F43" s="106"/>
      <c r="G43" s="106"/>
      <c r="H43" s="106"/>
      <c r="I43" s="95"/>
      <c r="J43" s="106"/>
      <c r="K43" t="s" s="78">
        <v>46</v>
      </c>
      <c r="L43" t="s" s="77">
        <v>47</v>
      </c>
      <c r="M43" t="s" s="78">
        <v>48</v>
      </c>
      <c r="N43" t="s" s="77">
        <v>49</v>
      </c>
      <c r="O43" t="s" s="77">
        <v>50</v>
      </c>
      <c r="P43" t="s" s="77">
        <v>51</v>
      </c>
    </row>
    <row r="44" ht="13.55" customHeight="1">
      <c r="A44" s="75"/>
      <c r="B44" s="107"/>
      <c r="C44" t="s" s="22">
        <v>72</v>
      </c>
      <c r="D44" s="48"/>
      <c r="E44" s="48"/>
      <c r="F44" s="48"/>
      <c r="G44" s="48"/>
      <c r="H44" s="48"/>
      <c r="I44" s="36"/>
      <c r="J44" s="48"/>
      <c r="K44" s="39">
        <f>D44*2</f>
        <v>0</v>
      </c>
      <c r="L44" s="39"/>
      <c r="M44" s="39"/>
      <c r="N44" s="38"/>
      <c r="O44" s="38"/>
      <c r="P44" s="38"/>
    </row>
    <row r="45" ht="13.55" customHeight="1">
      <c r="A45" s="75"/>
      <c r="B45" s="107"/>
      <c r="C45" s="36"/>
      <c r="D45" s="48"/>
      <c r="E45" s="48"/>
      <c r="F45" s="48"/>
      <c r="G45" s="48"/>
      <c r="H45" s="48"/>
      <c r="I45" s="36"/>
      <c r="J45" s="48"/>
      <c r="K45" s="39"/>
      <c r="L45" s="39"/>
      <c r="M45" s="39"/>
      <c r="N45" s="38"/>
      <c r="O45" s="38"/>
      <c r="P45" s="38"/>
    </row>
    <row r="46" ht="15.75" customHeight="1">
      <c r="A46" s="75"/>
      <c r="B46" s="108"/>
      <c r="C46" s="83"/>
      <c r="D46" s="83"/>
      <c r="E46" s="83"/>
      <c r="F46" s="83"/>
      <c r="G46" s="83"/>
      <c r="H46" s="83"/>
      <c r="I46" s="83"/>
      <c r="J46" s="83"/>
      <c r="K46" s="84"/>
      <c r="L46" s="84"/>
      <c r="M46" s="105"/>
      <c r="N46" s="84"/>
      <c r="O46" s="84"/>
      <c r="P46" s="84"/>
    </row>
    <row r="47" ht="15.75" customHeight="1">
      <c r="A47" s="75"/>
      <c r="B47" s="86"/>
      <c r="C47" t="s" s="87">
        <v>73</v>
      </c>
      <c r="D47" s="88"/>
      <c r="E47" s="88"/>
      <c r="F47" s="88"/>
      <c r="G47" s="88"/>
      <c r="H47" s="88"/>
      <c r="I47" s="88"/>
      <c r="J47" s="88"/>
      <c r="K47" s="89">
        <f>SUM(K44:K46)</f>
        <v>0</v>
      </c>
      <c r="L47" s="89"/>
      <c r="M47" s="89">
        <f>SUM(M44:M46)</f>
        <v>0</v>
      </c>
      <c r="N47" s="89">
        <f>SUM(N44:N46)</f>
        <v>0</v>
      </c>
      <c r="O47" s="89">
        <f>SUM(O44:O46)</f>
        <v>0</v>
      </c>
      <c r="P47" s="89">
        <f>SUM(P44:P46)</f>
        <v>0</v>
      </c>
    </row>
    <row r="48" ht="22.15" customHeight="1">
      <c r="A48" s="68"/>
      <c r="B48" s="109"/>
      <c r="C48" s="110"/>
      <c r="D48" s="110"/>
      <c r="E48" s="110"/>
      <c r="F48" s="110"/>
      <c r="G48" s="110"/>
      <c r="H48" s="110"/>
      <c r="I48" s="110"/>
      <c r="J48" s="110"/>
      <c r="K48" s="111"/>
      <c r="L48" s="111"/>
      <c r="M48" s="111"/>
      <c r="N48" s="111"/>
      <c r="O48" s="111"/>
      <c r="P48" s="111"/>
    </row>
    <row r="49" ht="15.75" customHeight="1">
      <c r="A49" s="68"/>
      <c r="B49" s="112"/>
      <c r="C49" t="s" s="87">
        <v>74</v>
      </c>
      <c r="D49" s="88"/>
      <c r="E49" s="88"/>
      <c r="F49" s="88"/>
      <c r="G49" s="88"/>
      <c r="H49" s="88"/>
      <c r="I49" s="88"/>
      <c r="J49" s="88"/>
      <c r="K49" s="89">
        <f>K20+K32+K40+K47</f>
        <v>2395150</v>
      </c>
      <c r="L49" s="89"/>
      <c r="M49" s="89">
        <f>M20+M32+M40+M47</f>
        <v>2726687.5</v>
      </c>
      <c r="N49" s="89">
        <f>N20+N32+N40+N47</f>
        <v>1592426.25</v>
      </c>
      <c r="O49" s="89">
        <f>O20+O32+O40+O47</f>
        <v>584066.25</v>
      </c>
      <c r="P49" s="89">
        <f>P20+P32+P40+P47</f>
        <v>228656.25</v>
      </c>
    </row>
    <row r="50" ht="22.15" customHeight="1">
      <c r="A50" s="68"/>
      <c r="B50" s="67"/>
      <c r="C50" s="67"/>
      <c r="D50" s="67"/>
      <c r="E50" s="67"/>
      <c r="F50" s="67"/>
      <c r="G50" s="67"/>
      <c r="H50" s="67"/>
      <c r="I50" s="67"/>
      <c r="J50" s="67"/>
      <c r="K50" s="92"/>
      <c r="L50" s="92"/>
      <c r="M50" s="92"/>
      <c r="N50" s="92">
        <f>N49-(N49*D64)</f>
        <v>1403740.54357243</v>
      </c>
      <c r="O50" s="92">
        <f>O49-(O49*D64)</f>
        <v>514860.562777905</v>
      </c>
      <c r="P50" s="92">
        <f>P49-(P49*D64)</f>
        <v>201562.897287226</v>
      </c>
    </row>
    <row r="51" ht="18.75" customHeight="1">
      <c r="A51" s="68"/>
      <c r="B51" t="s" s="30">
        <v>75</v>
      </c>
      <c r="C51" s="3"/>
      <c r="D51" s="3"/>
      <c r="E51" s="3"/>
      <c r="F51" s="3"/>
      <c r="G51" s="3"/>
      <c r="H51" s="3"/>
      <c r="I51" s="3"/>
      <c r="J51" s="3"/>
      <c r="K51" s="113"/>
      <c r="L51" s="113"/>
      <c r="M51" s="114">
        <f>D64</f>
        <v>0.118489447425005</v>
      </c>
      <c r="N51" s="113">
        <f>N49-N50</f>
        <v>188685.70642757</v>
      </c>
      <c r="O51" s="113">
        <f>O49-O50</f>
        <v>69205.687222095</v>
      </c>
      <c r="P51" s="113">
        <f>P49-P50</f>
        <v>27093.352712774</v>
      </c>
    </row>
    <row r="52" ht="15.75" customHeight="1">
      <c r="A52" s="68"/>
      <c r="B52" s="74"/>
      <c r="C52" s="74"/>
      <c r="D52" s="74"/>
      <c r="E52" s="74"/>
      <c r="F52" s="74"/>
      <c r="G52" s="74"/>
      <c r="H52" s="74"/>
      <c r="I52" s="74"/>
      <c r="J52" s="74"/>
      <c r="K52" s="115"/>
      <c r="L52" s="115"/>
      <c r="M52" s="115"/>
      <c r="N52" s="115"/>
      <c r="O52" s="115"/>
      <c r="P52" s="115"/>
    </row>
    <row r="53" ht="30" customHeight="1">
      <c r="A53" s="75"/>
      <c r="B53" t="s" s="76">
        <v>42</v>
      </c>
      <c r="C53" t="s" s="77">
        <v>76</v>
      </c>
      <c r="D53" t="s" s="78">
        <v>77</v>
      </c>
      <c r="E53" s="95"/>
      <c r="F53" s="95"/>
      <c r="G53" s="95"/>
      <c r="H53" s="95"/>
      <c r="I53" t="s" s="77">
        <v>44</v>
      </c>
      <c r="J53" s="116"/>
      <c r="K53" t="s" s="78">
        <v>135</v>
      </c>
      <c r="L53" s="95"/>
      <c r="M53" s="95"/>
      <c r="N53" t="s" s="77">
        <v>49</v>
      </c>
      <c r="O53" t="s" s="77">
        <v>50</v>
      </c>
      <c r="P53" t="s" s="77">
        <v>51</v>
      </c>
    </row>
    <row r="54" ht="14.05" customHeight="1">
      <c r="A54" s="75"/>
      <c r="B54" s="117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ht="15.75" customHeight="1">
      <c r="A55" s="75"/>
      <c r="B55" s="118"/>
      <c r="C55" t="s" s="119">
        <v>73</v>
      </c>
      <c r="D55" s="120"/>
      <c r="E55" s="88"/>
      <c r="F55" s="88"/>
      <c r="G55" s="88"/>
      <c r="H55" s="88"/>
      <c r="I55" s="121">
        <f>SUM(I54)</f>
        <v>0</v>
      </c>
      <c r="J55" s="120"/>
      <c r="K55" s="121">
        <f>SUM(K54)</f>
        <v>0</v>
      </c>
      <c r="L55" s="88"/>
      <c r="M55" s="88"/>
      <c r="N55" s="120"/>
      <c r="O55" s="120"/>
      <c r="P55" s="120"/>
    </row>
    <row r="56" ht="14.05" customHeight="1">
      <c r="A56" s="68"/>
      <c r="B56" s="122"/>
      <c r="C56" s="122"/>
      <c r="D56" s="122"/>
      <c r="E56" s="67"/>
      <c r="F56" s="67"/>
      <c r="G56" s="67"/>
      <c r="H56" s="67"/>
      <c r="I56" s="122"/>
      <c r="J56" s="122"/>
      <c r="K56" s="122"/>
      <c r="L56" s="67"/>
      <c r="M56" s="67"/>
      <c r="N56" s="122"/>
      <c r="O56" s="122"/>
      <c r="P56" s="122"/>
    </row>
    <row r="57" ht="18.75" customHeight="1">
      <c r="A57" s="68"/>
      <c r="B57" t="s" s="30">
        <v>136</v>
      </c>
      <c r="C57" s="11"/>
      <c r="D57" s="11"/>
      <c r="E57" s="3"/>
      <c r="F57" s="3"/>
      <c r="G57" s="3"/>
      <c r="H57" s="3"/>
      <c r="I57" s="11"/>
      <c r="J57" s="11"/>
      <c r="K57" s="11"/>
      <c r="L57" s="3"/>
      <c r="M57" s="3"/>
      <c r="N57" s="11"/>
      <c r="O57" s="11"/>
      <c r="P57" s="11"/>
    </row>
    <row r="58" ht="15.75" customHeight="1">
      <c r="A58" s="68"/>
      <c r="B58" s="123"/>
      <c r="C58" s="123"/>
      <c r="D58" s="123"/>
      <c r="E58" s="74"/>
      <c r="F58" s="74"/>
      <c r="G58" s="74"/>
      <c r="H58" s="74"/>
      <c r="I58" s="123"/>
      <c r="J58" s="123"/>
      <c r="K58" s="123"/>
      <c r="L58" s="74"/>
      <c r="M58" s="74"/>
      <c r="N58" s="123"/>
      <c r="O58" s="123"/>
      <c r="P58" s="123"/>
    </row>
    <row r="59" ht="15.75" customHeight="1">
      <c r="A59" s="68"/>
      <c r="B59" s="124"/>
      <c r="C59" t="s" s="125">
        <v>137</v>
      </c>
      <c r="D59" s="120"/>
      <c r="E59" s="88"/>
      <c r="F59" s="88"/>
      <c r="G59" s="88"/>
      <c r="H59" s="88"/>
      <c r="I59" s="120"/>
      <c r="J59" s="120"/>
      <c r="K59" s="126">
        <f>K49+K55</f>
        <v>2395150</v>
      </c>
      <c r="L59" s="88"/>
      <c r="M59" s="88"/>
      <c r="N59" s="120"/>
      <c r="O59" s="120"/>
      <c r="P59" s="120"/>
    </row>
    <row r="60" ht="14.05" customHeight="1">
      <c r="A60" s="68"/>
      <c r="B60" s="122"/>
      <c r="C60" s="122"/>
      <c r="D60" s="122"/>
      <c r="E60" s="67"/>
      <c r="F60" s="67"/>
      <c r="G60" s="67"/>
      <c r="H60" s="67"/>
      <c r="I60" s="122"/>
      <c r="J60" s="122"/>
      <c r="K60" s="127"/>
      <c r="L60" s="67"/>
      <c r="M60" s="67"/>
      <c r="N60" s="122"/>
      <c r="O60" s="122"/>
      <c r="P60" s="122"/>
    </row>
    <row r="61" ht="18.75" customHeight="1">
      <c r="A61" s="68"/>
      <c r="B61" t="s" s="30">
        <v>138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ht="15.75" customHeight="1">
      <c r="A62" s="68"/>
      <c r="B62" s="74"/>
      <c r="C62" t="s" s="128">
        <v>84</v>
      </c>
      <c r="D62" s="3"/>
      <c r="E62" s="3"/>
      <c r="F62" s="3"/>
      <c r="G62" s="3"/>
      <c r="H62" s="3"/>
      <c r="I62" s="3"/>
      <c r="J62" s="3"/>
      <c r="K62" s="11"/>
      <c r="L62" s="3"/>
      <c r="M62" s="3"/>
      <c r="N62" s="3"/>
      <c r="O62" s="3"/>
      <c r="P62" s="3"/>
    </row>
    <row r="63" ht="14.05" customHeight="1">
      <c r="A63" s="75"/>
      <c r="B63" t="s" s="129">
        <v>85</v>
      </c>
      <c r="C63" s="130">
        <f>K59</f>
        <v>2395150</v>
      </c>
      <c r="D63" s="6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ht="13.55" customHeight="1">
      <c r="A64" s="75"/>
      <c r="B64" t="s" s="131">
        <v>139</v>
      </c>
      <c r="C64" s="132">
        <f>SUM(C65:C67)</f>
        <v>283800</v>
      </c>
      <c r="D64" s="133">
        <f>C64/C63</f>
        <v>0.118489447425005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ht="13.55" customHeight="1">
      <c r="A65" s="75"/>
      <c r="B65" t="s" s="134">
        <v>87</v>
      </c>
      <c r="C65" s="135">
        <f>K32</f>
        <v>163800</v>
      </c>
      <c r="D65" t="s" s="136">
        <v>88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ht="13.55" customHeight="1">
      <c r="A66" s="75"/>
      <c r="B66" t="s" s="134">
        <v>87</v>
      </c>
      <c r="C66" s="135">
        <f>K55</f>
        <v>0</v>
      </c>
      <c r="D66" t="s" s="136">
        <v>89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ht="15.75" customHeight="1">
      <c r="A67" s="75"/>
      <c r="B67" t="s" s="137">
        <v>87</v>
      </c>
      <c r="C67" s="138">
        <v>120000</v>
      </c>
      <c r="D67" t="s" s="136">
        <v>90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ht="15.75" customHeight="1">
      <c r="A68" s="68"/>
      <c r="B68" s="110"/>
      <c r="C68" s="1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ht="15.75" customHeight="1">
      <c r="A69" s="75"/>
      <c r="B69" t="s" s="139">
        <v>91</v>
      </c>
      <c r="C69" s="140">
        <f>SUM(C63)-C64</f>
        <v>2111350</v>
      </c>
      <c r="D69" s="6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</sheetData>
  <mergeCells count="3">
    <mergeCell ref="C4:I4"/>
    <mergeCell ref="C5:I5"/>
    <mergeCell ref="B2:G2"/>
  </mergeCells>
  <pageMargins left="0.25" right="0.25" top="0.75" bottom="0.75" header="0.3" footer="0.3"/>
  <pageSetup firstPageNumber="1" fitToHeight="1" fitToWidth="1" scale="62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8"/>
  <sheetViews>
    <sheetView workbookViewId="0" showGridLines="0" defaultGridColor="1"/>
  </sheetViews>
  <sheetFormatPr defaultColWidth="16.3333" defaultRowHeight="15.4" customHeight="1" outlineLevelRow="0" outlineLevelCol="0"/>
  <cols>
    <col min="1" max="1" width="16" style="141" customWidth="1"/>
    <col min="2" max="2" width="93.5" style="141" customWidth="1"/>
    <col min="3" max="5" width="16.3516" style="141" customWidth="1"/>
    <col min="6" max="16384" width="16.3516" style="141" customWidth="1"/>
  </cols>
  <sheetData>
    <row r="1" ht="27.15" customHeight="1">
      <c r="A1" t="s" s="142">
        <v>140</v>
      </c>
      <c r="B1" s="143"/>
      <c r="C1" s="144"/>
      <c r="D1" s="145"/>
      <c r="E1" s="146"/>
    </row>
    <row r="2" ht="158.55" customHeight="1">
      <c r="A2" s="147">
        <v>1</v>
      </c>
      <c r="B2" t="s" s="148">
        <v>141</v>
      </c>
      <c r="C2" s="149"/>
      <c r="D2" s="150"/>
      <c r="E2" s="151"/>
    </row>
    <row r="3" ht="63" customHeight="1">
      <c r="A3" s="152">
        <v>2</v>
      </c>
      <c r="B3" t="s" s="153">
        <v>142</v>
      </c>
      <c r="C3" s="149"/>
      <c r="D3" s="150"/>
      <c r="E3" s="151"/>
    </row>
    <row r="4" ht="86.95" customHeight="1">
      <c r="A4" s="152">
        <v>3</v>
      </c>
      <c r="B4" t="s" s="153">
        <v>143</v>
      </c>
      <c r="C4" s="149"/>
      <c r="D4" s="150"/>
      <c r="E4" s="151"/>
    </row>
    <row r="5" ht="13.55" customHeight="1">
      <c r="A5" s="154"/>
      <c r="B5" s="155"/>
      <c r="C5" s="150"/>
      <c r="D5" s="150"/>
      <c r="E5" s="151"/>
    </row>
    <row r="6" ht="13.55" customHeight="1">
      <c r="A6" s="156"/>
      <c r="B6" s="150"/>
      <c r="C6" s="150"/>
      <c r="D6" s="150"/>
      <c r="E6" s="151"/>
    </row>
    <row r="7" ht="13.55" customHeight="1">
      <c r="A7" s="156"/>
      <c r="B7" s="150"/>
      <c r="C7" s="150"/>
      <c r="D7" s="150"/>
      <c r="E7" s="151"/>
    </row>
    <row r="8" ht="13.55" customHeight="1">
      <c r="A8" s="157"/>
      <c r="B8" s="158"/>
      <c r="C8" s="158"/>
      <c r="D8" s="158"/>
      <c r="E8" s="15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